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updateLinks="never" codeName="ThisWorkbook" hidePivotFieldList="1"/>
  <mc:AlternateContent xmlns:mc="http://schemas.openxmlformats.org/markup-compatibility/2006">
    <mc:Choice Requires="x15">
      <x15ac:absPath xmlns:x15ac="http://schemas.microsoft.com/office/spreadsheetml/2010/11/ac" url="\\FILESVM31\kbn34_FS02E_さくらサイエンスプログラム推進本部\02_一般公募\02_21　契約\2025年度_機2\01_契約様式・事務処理要領・募集要項\01.契約様式\"/>
    </mc:Choice>
  </mc:AlternateContent>
  <xr:revisionPtr revIDLastSave="0" documentId="8_{60774840-77C9-4707-B3AE-0CA28B3092F3}" xr6:coauthVersionLast="47" xr6:coauthVersionMax="47" xr10:uidLastSave="{00000000-0000-0000-0000-000000000000}"/>
  <workbookProtection workbookAlgorithmName="SHA-512" workbookHashValue="XktYCyjA6Eciy9GE9qsVymf5H3BuOuFPCipBUzol/Pz68NHM5cVcsSh0naVkc0THyYNRk2WF3KFsTpKoBY+UwA==" workbookSaltValue="leaVefAszi8jRwjM2oXyYQ==" workbookSpinCount="100000" lockStructure="1"/>
  <bookViews>
    <workbookView xWindow="-120" yWindow="-120" windowWidth="29040" windowHeight="15720" tabRatio="914" xr2:uid="{C896DFC1-96D5-407D-8A1A-F76F214720B0}"/>
  </bookViews>
  <sheets>
    <sheet name="1)受入れ機関概要" sheetId="1" r:id="rId1"/>
    <sheet name="2)送出し機関概要" sheetId="2" r:id="rId2"/>
    <sheet name="3)招へい者4)受入れ体制" sheetId="4" r:id="rId3"/>
    <sheet name="5)実施内容" sheetId="20" r:id="rId4"/>
    <sheet name="6)日程" sheetId="14" r:id="rId5"/>
    <sheet name="7)経費概算見積書（渡航費内訳）" sheetId="8" r:id="rId6"/>
    <sheet name="7)経費概算見積書" sheetId="6" r:id="rId7"/>
    <sheet name="8)招へい者リスト" sheetId="7" r:id="rId8"/>
    <sheet name="9)改訂履歴" sheetId="10" r:id="rId9"/>
    <sheet name="隠しシート" sheetId="3" state="hidden" r:id="rId10"/>
  </sheets>
  <definedNames>
    <definedName name="_xlnm._FilterDatabase" localSheetId="0" hidden="1">'1)受入れ機関概要'!$A$1:$G$38</definedName>
    <definedName name="_xlnm.Print_Area" localSheetId="0">'1)受入れ機関概要'!$A$1:$G$41</definedName>
    <definedName name="_xlnm.Print_Area" localSheetId="1">'2)送出し機関概要'!$A$1:$G$46</definedName>
    <definedName name="_xlnm.Print_Area" localSheetId="2">'3)招へい者4)受入れ体制'!$A$1:$L$51</definedName>
    <definedName name="_xlnm.Print_Area" localSheetId="3">'5)実施内容'!$A$1:$E$43</definedName>
    <definedName name="_xlnm.Print_Area" localSheetId="4">'6)日程'!$A$1:$F$48</definedName>
    <definedName name="_xlnm.Print_Area" localSheetId="6">'7)経費概算見積書'!$A$1:$O$49</definedName>
    <definedName name="_xlnm.Print_Area" localSheetId="5">'7)経費概算見積書（渡航費内訳）'!$A$1:$K$32</definedName>
    <definedName name="_xlnm.Print_Area" localSheetId="7">'8)招へい者リスト'!$A$4:$R$58</definedName>
    <definedName name="_xlnm.Print_Area" localSheetId="8">'9)改訂履歴'!$A$7:$F$21</definedName>
    <definedName name="_xlnm.Print_Titles" localSheetId="4">'6)日程'!$5:$6</definedName>
    <definedName name="_xlnm.Print_Titles" localSheetId="5">'7)経費概算見積書（渡航費内訳）'!$16:$17</definedName>
    <definedName name="_xlnm.Print_Titles" localSheetId="7">'8)招へい者リスト'!$17:$18</definedName>
    <definedName name="_xlnm.Print_Titles" localSheetId="8">'9)改訂履歴'!$11:$11</definedName>
    <definedName name="国・地域リスト">隠しシート!$C$3:$C$151</definedName>
    <definedName name="国・地域リスト_招へい者リスト用">隠しシート!$J$3:$J$199</definedName>
    <definedName name="送出し機関名">'3)招へい者4)受入れ体制'!$C$5:$C$29</definedName>
    <definedName name="送出し国リスト">隠しシート!$C$155:$C$180</definedName>
    <definedName name="分野">隠しシート!$B$183:$B$189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C32" i="6" l="1"/>
  <c r="A3" i="1" l="1"/>
  <c r="F51" i="7" l="1"/>
  <c r="M51" i="7" s="1"/>
  <c r="F69" i="7"/>
  <c r="M69" i="7" s="1"/>
  <c r="Y80" i="7"/>
  <c r="X80" i="7" s="1"/>
  <c r="Y79" i="7"/>
  <c r="X79" i="7" s="1"/>
  <c r="Y78" i="7"/>
  <c r="X78" i="7" s="1"/>
  <c r="Y77" i="7"/>
  <c r="T77" i="7" s="1"/>
  <c r="Y76" i="7"/>
  <c r="X76" i="7" s="1"/>
  <c r="Y75" i="7"/>
  <c r="X75" i="7" s="1"/>
  <c r="Y74" i="7"/>
  <c r="V74" i="7" s="1"/>
  <c r="Y73" i="7"/>
  <c r="X73" i="7" s="1"/>
  <c r="Y72" i="7"/>
  <c r="W72" i="7" s="1"/>
  <c r="Y71" i="7"/>
  <c r="X71" i="7" s="1"/>
  <c r="Y70" i="7"/>
  <c r="X70" i="7" s="1"/>
  <c r="Y69" i="7"/>
  <c r="T69" i="7" s="1"/>
  <c r="Y68" i="7"/>
  <c r="X68" i="7" s="1"/>
  <c r="Y67" i="7"/>
  <c r="X67" i="7" s="1"/>
  <c r="Y66" i="7"/>
  <c r="W66" i="7" s="1"/>
  <c r="Y65" i="7"/>
  <c r="T65" i="7" s="1"/>
  <c r="Y64" i="7"/>
  <c r="T64" i="7" s="1"/>
  <c r="Y63" i="7"/>
  <c r="T63" i="7" s="1"/>
  <c r="Y62" i="7"/>
  <c r="X62" i="7" s="1"/>
  <c r="Y61" i="7"/>
  <c r="T61" i="7" s="1"/>
  <c r="Y60" i="7"/>
  <c r="X60" i="7" s="1"/>
  <c r="Y59" i="7"/>
  <c r="T59" i="7" s="1"/>
  <c r="Y58" i="7"/>
  <c r="X58" i="7" s="1"/>
  <c r="Y57" i="7"/>
  <c r="T57" i="7" s="1"/>
  <c r="Y56" i="7"/>
  <c r="X56" i="7" s="1"/>
  <c r="Y55" i="7"/>
  <c r="T55" i="7" s="1"/>
  <c r="Y54" i="7"/>
  <c r="X54" i="7" s="1"/>
  <c r="Y53" i="7"/>
  <c r="T53" i="7" s="1"/>
  <c r="Y52" i="7"/>
  <c r="X52" i="7" s="1"/>
  <c r="Y51" i="7"/>
  <c r="T51" i="7" s="1"/>
  <c r="F66" i="7"/>
  <c r="M66" i="7" s="1"/>
  <c r="G66" i="7"/>
  <c r="H66" i="7" s="1"/>
  <c r="F67" i="7"/>
  <c r="M67" i="7" s="1"/>
  <c r="G67" i="7"/>
  <c r="H67" i="7" s="1"/>
  <c r="F68" i="7"/>
  <c r="M68" i="7" s="1"/>
  <c r="G68" i="7"/>
  <c r="H68" i="7" s="1"/>
  <c r="G69" i="7"/>
  <c r="H69" i="7" s="1"/>
  <c r="F70" i="7"/>
  <c r="M70" i="7" s="1"/>
  <c r="G70" i="7"/>
  <c r="H70" i="7" s="1"/>
  <c r="F71" i="7"/>
  <c r="M71" i="7" s="1"/>
  <c r="G71" i="7"/>
  <c r="H71" i="7" s="1"/>
  <c r="F72" i="7"/>
  <c r="M72" i="7" s="1"/>
  <c r="G72" i="7"/>
  <c r="H72" i="7" s="1"/>
  <c r="F73" i="7"/>
  <c r="M73" i="7" s="1"/>
  <c r="G73" i="7"/>
  <c r="H73" i="7" s="1"/>
  <c r="F74" i="7"/>
  <c r="M74" i="7" s="1"/>
  <c r="G74" i="7"/>
  <c r="H74" i="7" s="1"/>
  <c r="F75" i="7"/>
  <c r="M75" i="7" s="1"/>
  <c r="G75" i="7"/>
  <c r="H75" i="7" s="1"/>
  <c r="F76" i="7"/>
  <c r="M76" i="7" s="1"/>
  <c r="G76" i="7"/>
  <c r="H76" i="7" s="1"/>
  <c r="F77" i="7"/>
  <c r="M77" i="7" s="1"/>
  <c r="G77" i="7"/>
  <c r="H77" i="7" s="1"/>
  <c r="F78" i="7"/>
  <c r="M78" i="7" s="1"/>
  <c r="G78" i="7"/>
  <c r="H78" i="7" s="1"/>
  <c r="F79" i="7"/>
  <c r="M79" i="7" s="1"/>
  <c r="G79" i="7"/>
  <c r="H79" i="7" s="1"/>
  <c r="F80" i="7"/>
  <c r="M80" i="7" s="1"/>
  <c r="G80" i="7"/>
  <c r="H80" i="7" s="1"/>
  <c r="X69" i="7" l="1"/>
  <c r="S69" i="7" s="1"/>
  <c r="AC69" i="7" s="1" a="1"/>
  <c r="AC69" i="7" s="1"/>
  <c r="X72" i="7"/>
  <c r="S72" i="7" s="1"/>
  <c r="AA72" i="7" s="1" a="1"/>
  <c r="AA72" i="7" s="1"/>
  <c r="X74" i="7"/>
  <c r="S74" i="7" s="1"/>
  <c r="AC74" i="7" s="1" a="1"/>
  <c r="AC74" i="7" s="1"/>
  <c r="X65" i="7"/>
  <c r="X77" i="7"/>
  <c r="S77" i="7" s="1"/>
  <c r="AG77" i="7" s="1" a="1"/>
  <c r="AG77" i="7" s="1"/>
  <c r="X66" i="7"/>
  <c r="S66" i="7" s="1"/>
  <c r="AH66" i="7" s="1" a="1"/>
  <c r="AH66" i="7" s="1"/>
  <c r="S80" i="7"/>
  <c r="AH80" i="7" s="1" a="1"/>
  <c r="AH80" i="7" s="1"/>
  <c r="S79" i="7"/>
  <c r="AH79" i="7" s="1" a="1"/>
  <c r="AH79" i="7" s="1"/>
  <c r="S78" i="7"/>
  <c r="AD78" i="7" s="1" a="1"/>
  <c r="AD78" i="7" s="1"/>
  <c r="S76" i="7"/>
  <c r="AC76" i="7" s="1" a="1"/>
  <c r="AC76" i="7" s="1"/>
  <c r="S75" i="7"/>
  <c r="AC75" i="7" s="1" a="1"/>
  <c r="AC75" i="7" s="1"/>
  <c r="S73" i="7"/>
  <c r="AD73" i="7" s="1" a="1"/>
  <c r="AD73" i="7" s="1"/>
  <c r="S67" i="7"/>
  <c r="AC67" i="7" s="1" a="1"/>
  <c r="AC67" i="7" s="1"/>
  <c r="T60" i="7"/>
  <c r="V77" i="7"/>
  <c r="W77" i="7"/>
  <c r="V76" i="7"/>
  <c r="X59" i="7"/>
  <c r="W68" i="7"/>
  <c r="T79" i="7"/>
  <c r="T66" i="7"/>
  <c r="T74" i="7"/>
  <c r="T52" i="7"/>
  <c r="V79" i="7"/>
  <c r="X55" i="7"/>
  <c r="X63" i="7"/>
  <c r="T71" i="7"/>
  <c r="V71" i="7"/>
  <c r="T68" i="7"/>
  <c r="W71" i="7"/>
  <c r="X57" i="7"/>
  <c r="X64" i="7"/>
  <c r="W69" i="7"/>
  <c r="V69" i="7"/>
  <c r="V68" i="7"/>
  <c r="T62" i="7"/>
  <c r="V66" i="7"/>
  <c r="W79" i="7"/>
  <c r="X53" i="7"/>
  <c r="X61" i="7"/>
  <c r="S71" i="7"/>
  <c r="AC71" i="7" s="1" a="1"/>
  <c r="AC71" i="7" s="1"/>
  <c r="T72" i="7"/>
  <c r="W67" i="7"/>
  <c r="V72" i="7"/>
  <c r="T56" i="7"/>
  <c r="X51" i="7"/>
  <c r="T80" i="7"/>
  <c r="V80" i="7"/>
  <c r="W80" i="7"/>
  <c r="W70" i="7"/>
  <c r="V70" i="7"/>
  <c r="T58" i="7"/>
  <c r="T67" i="7"/>
  <c r="V67" i="7"/>
  <c r="T78" i="7"/>
  <c r="V78" i="7"/>
  <c r="W78" i="7"/>
  <c r="T54" i="7"/>
  <c r="V75" i="7"/>
  <c r="T70" i="7"/>
  <c r="S70" i="7"/>
  <c r="AG70" i="7" s="1" a="1"/>
  <c r="AG70" i="7" s="1"/>
  <c r="V73" i="7"/>
  <c r="W76" i="7"/>
  <c r="T75" i="7"/>
  <c r="W74" i="7"/>
  <c r="W73" i="7"/>
  <c r="T73" i="7"/>
  <c r="T76" i="7"/>
  <c r="W75" i="7"/>
  <c r="AI75" i="7" l="1" a="1"/>
  <c r="AI75" i="7" s="1"/>
  <c r="AI78" i="7" a="1"/>
  <c r="AI78" i="7" s="1"/>
  <c r="AC73" i="7" a="1"/>
  <c r="AC73" i="7" s="1"/>
  <c r="AB73" i="7" a="1"/>
  <c r="AB73" i="7" s="1"/>
  <c r="AE73" i="7" a="1"/>
  <c r="AE73" i="7" s="1"/>
  <c r="AG75" i="7" a="1"/>
  <c r="AG75" i="7" s="1"/>
  <c r="AJ73" i="7" a="1"/>
  <c r="AJ73" i="7" s="1"/>
  <c r="AH73" i="7" a="1"/>
  <c r="AH73" i="7" s="1"/>
  <c r="AB75" i="7" a="1"/>
  <c r="AB75" i="7" s="1"/>
  <c r="AA73" i="7" a="1"/>
  <c r="AA73" i="7" s="1"/>
  <c r="AE75" i="7" a="1"/>
  <c r="AE75" i="7" s="1"/>
  <c r="AG73" i="7" a="1"/>
  <c r="AG73" i="7" s="1"/>
  <c r="AJ67" i="7" a="1"/>
  <c r="AJ67" i="7" s="1"/>
  <c r="AF73" i="7" a="1"/>
  <c r="AF73" i="7" s="1"/>
  <c r="Z73" i="7" a="1"/>
  <c r="Z73" i="7" s="1"/>
  <c r="AI73" i="7" a="1"/>
  <c r="AI73" i="7" s="1"/>
  <c r="AG80" i="7" a="1"/>
  <c r="AG80" i="7" s="1"/>
  <c r="Z80" i="7" a="1"/>
  <c r="Z80" i="7" s="1"/>
  <c r="AJ80" i="7" a="1"/>
  <c r="AJ80" i="7" s="1"/>
  <c r="AB80" i="7" a="1"/>
  <c r="AB80" i="7" s="1"/>
  <c r="AA80" i="7" a="1"/>
  <c r="AA80" i="7" s="1"/>
  <c r="AD80" i="7" a="1"/>
  <c r="AD80" i="7" s="1"/>
  <c r="AI80" i="7" a="1"/>
  <c r="AI80" i="7" s="1"/>
  <c r="AF80" i="7" a="1"/>
  <c r="AF80" i="7" s="1"/>
  <c r="AE80" i="7" a="1"/>
  <c r="AE80" i="7" s="1"/>
  <c r="AC80" i="7" a="1"/>
  <c r="AC80" i="7" s="1"/>
  <c r="AA79" i="7" a="1"/>
  <c r="AA79" i="7" s="1"/>
  <c r="AE79" i="7" a="1"/>
  <c r="AE79" i="7" s="1"/>
  <c r="AJ79" i="7" a="1"/>
  <c r="AJ79" i="7" s="1"/>
  <c r="AC79" i="7" a="1"/>
  <c r="AC79" i="7" s="1"/>
  <c r="AF79" i="7" a="1"/>
  <c r="AF79" i="7" s="1"/>
  <c r="Z79" i="7" a="1"/>
  <c r="Z79" i="7" s="1"/>
  <c r="AD79" i="7" a="1"/>
  <c r="AD79" i="7" s="1"/>
  <c r="AG79" i="7" a="1"/>
  <c r="AG79" i="7" s="1"/>
  <c r="AI79" i="7" a="1"/>
  <c r="AI79" i="7" s="1"/>
  <c r="AB79" i="7" a="1"/>
  <c r="AB79" i="7" s="1"/>
  <c r="AG78" i="7" a="1"/>
  <c r="AG78" i="7" s="1"/>
  <c r="AJ78" i="7" a="1"/>
  <c r="AJ78" i="7" s="1"/>
  <c r="AC78" i="7" a="1"/>
  <c r="AC78" i="7" s="1"/>
  <c r="AH78" i="7" a="1"/>
  <c r="AH78" i="7" s="1"/>
  <c r="AE78" i="7" a="1"/>
  <c r="AE78" i="7" s="1"/>
  <c r="AB78" i="7" a="1"/>
  <c r="AB78" i="7" s="1"/>
  <c r="AF78" i="7" a="1"/>
  <c r="AF78" i="7" s="1"/>
  <c r="AA78" i="7" a="1"/>
  <c r="AA78" i="7" s="1"/>
  <c r="Z78" i="7" a="1"/>
  <c r="Z78" i="7" s="1"/>
  <c r="AG76" i="7" a="1"/>
  <c r="AG76" i="7" s="1"/>
  <c r="Z76" i="7" a="1"/>
  <c r="Z76" i="7" s="1"/>
  <c r="AE76" i="7" a="1"/>
  <c r="AE76" i="7" s="1"/>
  <c r="AH76" i="7" a="1"/>
  <c r="AH76" i="7" s="1"/>
  <c r="AD76" i="7" a="1"/>
  <c r="AD76" i="7" s="1"/>
  <c r="AI76" i="7" a="1"/>
  <c r="AI76" i="7" s="1"/>
  <c r="AA76" i="7" a="1"/>
  <c r="AA76" i="7" s="1"/>
  <c r="AF76" i="7" a="1"/>
  <c r="AF76" i="7" s="1"/>
  <c r="AJ76" i="7" a="1"/>
  <c r="AJ76" i="7" s="1"/>
  <c r="AB76" i="7" a="1"/>
  <c r="AB76" i="7" s="1"/>
  <c r="Z75" i="7" a="1"/>
  <c r="Z75" i="7" s="1"/>
  <c r="AA75" i="7" a="1"/>
  <c r="AA75" i="7" s="1"/>
  <c r="AH75" i="7" a="1"/>
  <c r="AH75" i="7" s="1"/>
  <c r="AJ75" i="7" a="1"/>
  <c r="AJ75" i="7" s="1"/>
  <c r="AF75" i="7" a="1"/>
  <c r="AF75" i="7" s="1"/>
  <c r="AD75" i="7" a="1"/>
  <c r="AD75" i="7" s="1"/>
  <c r="AD67" i="7" a="1"/>
  <c r="AD67" i="7" s="1"/>
  <c r="AF67" i="7" a="1"/>
  <c r="AF67" i="7" s="1"/>
  <c r="AG67" i="7" a="1"/>
  <c r="AG67" i="7" s="1"/>
  <c r="AH67" i="7" a="1"/>
  <c r="AH67" i="7" s="1"/>
  <c r="AA67" i="7" a="1"/>
  <c r="AA67" i="7" s="1"/>
  <c r="AB67" i="7" a="1"/>
  <c r="AB67" i="7" s="1"/>
  <c r="AE67" i="7" a="1"/>
  <c r="AE67" i="7" s="1"/>
  <c r="Z67" i="7" a="1"/>
  <c r="Z67" i="7" s="1"/>
  <c r="AI67" i="7" a="1"/>
  <c r="AI67" i="7" s="1"/>
  <c r="AI71" i="7" a="1"/>
  <c r="AI71" i="7" s="1"/>
  <c r="AB71" i="7" a="1"/>
  <c r="AB71" i="7" s="1"/>
  <c r="Z69" i="7" a="1"/>
  <c r="Z69" i="7" s="1"/>
  <c r="Z71" i="7" a="1"/>
  <c r="Z71" i="7" s="1"/>
  <c r="AJ71" i="7" a="1"/>
  <c r="AJ71" i="7" s="1"/>
  <c r="AA71" i="7" a="1"/>
  <c r="AA71" i="7" s="1"/>
  <c r="AD71" i="7" a="1"/>
  <c r="AD71" i="7" s="1"/>
  <c r="AG71" i="7" a="1"/>
  <c r="AG71" i="7" s="1"/>
  <c r="AF71" i="7" a="1"/>
  <c r="AF71" i="7" s="1"/>
  <c r="AB72" i="7" a="1"/>
  <c r="AB72" i="7" s="1"/>
  <c r="AE70" i="7" a="1"/>
  <c r="AE70" i="7" s="1"/>
  <c r="AD70" i="7" a="1"/>
  <c r="AD70" i="7" s="1"/>
  <c r="Z74" i="7" a="1"/>
  <c r="Z74" i="7" s="1"/>
  <c r="AG66" i="7" a="1"/>
  <c r="AG66" i="7" s="1"/>
  <c r="AF77" i="7" a="1"/>
  <c r="AF77" i="7" s="1"/>
  <c r="AH74" i="7" a="1"/>
  <c r="AH74" i="7" s="1"/>
  <c r="S68" i="7"/>
  <c r="AJ68" i="7" s="1" a="1"/>
  <c r="AJ68" i="7" s="1"/>
  <c r="AF66" i="7" a="1"/>
  <c r="AF66" i="7" s="1"/>
  <c r="AE77" i="7" a="1"/>
  <c r="AE77" i="7" s="1"/>
  <c r="AG74" i="7" a="1"/>
  <c r="AG74" i="7" s="1"/>
  <c r="AA66" i="7" a="1"/>
  <c r="AA66" i="7" s="1"/>
  <c r="AD77" i="7" a="1"/>
  <c r="AD77" i="7" s="1"/>
  <c r="AA74" i="7" a="1"/>
  <c r="AA74" i="7" s="1"/>
  <c r="AE66" i="7" a="1"/>
  <c r="AE66" i="7" s="1"/>
  <c r="AB77" i="7" a="1"/>
  <c r="AB77" i="7" s="1"/>
  <c r="AF74" i="7" a="1"/>
  <c r="AF74" i="7" s="1"/>
  <c r="AD66" i="7" a="1"/>
  <c r="AD66" i="7" s="1"/>
  <c r="AC77" i="7" a="1"/>
  <c r="AC77" i="7" s="1"/>
  <c r="AE74" i="7" a="1"/>
  <c r="AE74" i="7" s="1"/>
  <c r="AF72" i="7" a="1"/>
  <c r="AF72" i="7" s="1"/>
  <c r="AG72" i="7" a="1"/>
  <c r="AG72" i="7" s="1"/>
  <c r="AH72" i="7" a="1"/>
  <c r="AH72" i="7" s="1"/>
  <c r="AI74" i="7" a="1"/>
  <c r="AI74" i="7" s="1"/>
  <c r="AJ69" i="7" a="1"/>
  <c r="AJ69" i="7" s="1"/>
  <c r="AB66" i="7" a="1"/>
  <c r="AB66" i="7" s="1"/>
  <c r="AE71" i="7" a="1"/>
  <c r="AE71" i="7" s="1"/>
  <c r="AA77" i="7" a="1"/>
  <c r="AA77" i="7" s="1"/>
  <c r="AD74" i="7" a="1"/>
  <c r="AD74" i="7" s="1"/>
  <c r="AJ74" i="7" a="1"/>
  <c r="AJ74" i="7" s="1"/>
  <c r="AC66" i="7" a="1"/>
  <c r="AC66" i="7" s="1"/>
  <c r="AH71" i="7" a="1"/>
  <c r="AH71" i="7" s="1"/>
  <c r="AB74" i="7" a="1"/>
  <c r="AB74" i="7" s="1"/>
  <c r="AE69" i="7" a="1"/>
  <c r="AE69" i="7" s="1"/>
  <c r="AH69" i="7" a="1"/>
  <c r="AH69" i="7" s="1"/>
  <c r="AG69" i="7" a="1"/>
  <c r="AG69" i="7" s="1"/>
  <c r="AF69" i="7" a="1"/>
  <c r="AF69" i="7" s="1"/>
  <c r="AD69" i="7" a="1"/>
  <c r="AD69" i="7" s="1"/>
  <c r="AB69" i="7" a="1"/>
  <c r="AB69" i="7" s="1"/>
  <c r="AA69" i="7" a="1"/>
  <c r="AA69" i="7" s="1"/>
  <c r="AE72" i="7" a="1"/>
  <c r="AE72" i="7" s="1"/>
  <c r="AH77" i="7" a="1"/>
  <c r="AH77" i="7" s="1"/>
  <c r="AI69" i="7" a="1"/>
  <c r="AI69" i="7" s="1"/>
  <c r="AD72" i="7" a="1"/>
  <c r="AD72" i="7" s="1"/>
  <c r="AH70" i="7" a="1"/>
  <c r="AH70" i="7" s="1"/>
  <c r="AC70" i="7" a="1"/>
  <c r="AC70" i="7" s="1"/>
  <c r="AB70" i="7" a="1"/>
  <c r="AB70" i="7" s="1"/>
  <c r="AA70" i="7" a="1"/>
  <c r="AA70" i="7" s="1"/>
  <c r="AF70" i="7" a="1"/>
  <c r="AF70" i="7" s="1"/>
  <c r="AC72" i="7" a="1"/>
  <c r="AC72" i="7" s="1"/>
  <c r="AJ72" i="7" a="1"/>
  <c r="AJ72" i="7" s="1"/>
  <c r="AI72" i="7" a="1"/>
  <c r="AI72" i="7" s="1"/>
  <c r="Z72" i="7" a="1"/>
  <c r="Z72" i="7" s="1"/>
  <c r="AJ77" i="7" a="1"/>
  <c r="AJ77" i="7" s="1"/>
  <c r="AI77" i="7" a="1"/>
  <c r="AI77" i="7" s="1"/>
  <c r="Z77" i="7" a="1"/>
  <c r="Z77" i="7" s="1"/>
  <c r="AJ70" i="7" a="1"/>
  <c r="AJ70" i="7" s="1"/>
  <c r="AI70" i="7" a="1"/>
  <c r="AI70" i="7" s="1"/>
  <c r="Z70" i="7" a="1"/>
  <c r="Z70" i="7" s="1"/>
  <c r="AJ66" i="7" a="1"/>
  <c r="AJ66" i="7" s="1"/>
  <c r="AI66" i="7" a="1"/>
  <c r="AI66" i="7" s="1"/>
  <c r="Z66" i="7" a="1"/>
  <c r="Z66" i="7" s="1"/>
  <c r="AI68" i="7" l="1" a="1"/>
  <c r="AI68" i="7" s="1"/>
  <c r="Z68" i="7" a="1"/>
  <c r="Z68" i="7" s="1"/>
  <c r="AF68" i="7" a="1"/>
  <c r="AF68" i="7" s="1"/>
  <c r="AH68" i="7" a="1"/>
  <c r="AH68" i="7" s="1"/>
  <c r="AG68" i="7" a="1"/>
  <c r="AG68" i="7" s="1"/>
  <c r="AA68" i="7" a="1"/>
  <c r="AA68" i="7" s="1"/>
  <c r="AB68" i="7" a="1"/>
  <c r="AB68" i="7" s="1"/>
  <c r="AC68" i="7" a="1"/>
  <c r="AC68" i="7" s="1"/>
  <c r="AD68" i="7" a="1"/>
  <c r="AD68" i="7" s="1"/>
  <c r="AE68" i="7" a="1"/>
  <c r="AE68" i="7" s="1"/>
  <c r="J16" i="7" a="1"/>
  <c r="J16" i="7" s="1"/>
  <c r="G7" i="7"/>
  <c r="F7" i="7"/>
  <c r="I7" i="7"/>
  <c r="S1" i="7" s="1"/>
  <c r="D7" i="7"/>
  <c r="U71" i="7" l="1"/>
  <c r="U73" i="7"/>
  <c r="U75" i="7"/>
  <c r="U78" i="7"/>
  <c r="U67" i="7"/>
  <c r="U80" i="7"/>
  <c r="U77" i="7"/>
  <c r="U68" i="7"/>
  <c r="U66" i="7"/>
  <c r="U76" i="7"/>
  <c r="U70" i="7"/>
  <c r="U72" i="7"/>
  <c r="U69" i="7"/>
  <c r="U74" i="7"/>
  <c r="U79" i="7"/>
  <c r="R16" i="7"/>
  <c r="Q16" i="7"/>
  <c r="S16" i="7" l="1"/>
  <c r="F61" i="7"/>
  <c r="M61" i="7" s="1"/>
  <c r="G61" i="7"/>
  <c r="H61" i="7" s="1"/>
  <c r="F62" i="7"/>
  <c r="M62" i="7" s="1"/>
  <c r="G62" i="7"/>
  <c r="H62" i="7" s="1"/>
  <c r="F63" i="7"/>
  <c r="M63" i="7" s="1"/>
  <c r="G63" i="7"/>
  <c r="H63" i="7" s="1"/>
  <c r="F64" i="7"/>
  <c r="M64" i="7" s="1"/>
  <c r="G64" i="7"/>
  <c r="H64" i="7" s="1"/>
  <c r="F65" i="7"/>
  <c r="M65" i="7" s="1"/>
  <c r="G65" i="7"/>
  <c r="H65" i="7" s="1"/>
  <c r="V65" i="7" l="1"/>
  <c r="U65" i="7"/>
  <c r="W65" i="7"/>
  <c r="S64" i="7"/>
  <c r="S63" i="7"/>
  <c r="S62" i="7"/>
  <c r="S56" i="7"/>
  <c r="S53" i="7"/>
  <c r="Z64" i="7" l="1" a="1"/>
  <c r="Z64" i="7" s="1"/>
  <c r="AJ64" i="7" a="1"/>
  <c r="AJ64" i="7" s="1"/>
  <c r="AI64" i="7" a="1"/>
  <c r="AI64" i="7" s="1"/>
  <c r="Z63" i="7" a="1"/>
  <c r="Z63" i="7" s="1"/>
  <c r="AI63" i="7" a="1"/>
  <c r="AI63" i="7" s="1"/>
  <c r="AJ63" i="7" a="1"/>
  <c r="AJ63" i="7" s="1"/>
  <c r="AJ62" i="7" a="1"/>
  <c r="AJ62" i="7" s="1"/>
  <c r="Z62" i="7" a="1"/>
  <c r="Z62" i="7" s="1"/>
  <c r="AI62" i="7" a="1"/>
  <c r="AI62" i="7" s="1"/>
  <c r="Z56" i="7" a="1"/>
  <c r="Z56" i="7" s="1"/>
  <c r="AJ56" i="7" a="1"/>
  <c r="AJ56" i="7" s="1"/>
  <c r="AI56" i="7" a="1"/>
  <c r="AI56" i="7" s="1"/>
  <c r="AJ53" i="7" a="1"/>
  <c r="AJ53" i="7" s="1"/>
  <c r="Z53" i="7" a="1"/>
  <c r="Z53" i="7" s="1"/>
  <c r="AI53" i="7" a="1"/>
  <c r="AI53" i="7" s="1"/>
  <c r="AH53" i="7" a="1"/>
  <c r="AH53" i="7" s="1"/>
  <c r="AG53" i="7" a="1"/>
  <c r="AG53" i="7" s="1"/>
  <c r="AC53" i="7" a="1"/>
  <c r="AC53" i="7" s="1"/>
  <c r="AA53" i="7" a="1"/>
  <c r="AA53" i="7" s="1"/>
  <c r="AB53" i="7" a="1"/>
  <c r="AB53" i="7" s="1"/>
  <c r="AD63" i="7" a="1"/>
  <c r="AD63" i="7" s="1"/>
  <c r="AF63" i="7" a="1"/>
  <c r="AF63" i="7" s="1"/>
  <c r="AA63" i="7" a="1"/>
  <c r="AA63" i="7" s="1"/>
  <c r="AH63" i="7" a="1"/>
  <c r="AH63" i="7" s="1"/>
  <c r="AG63" i="7" a="1"/>
  <c r="AG63" i="7" s="1"/>
  <c r="AB63" i="7" a="1"/>
  <c r="AB63" i="7" s="1"/>
  <c r="AE63" i="7" a="1"/>
  <c r="AE63" i="7" s="1"/>
  <c r="AC63" i="7" a="1"/>
  <c r="AC63" i="7" s="1"/>
  <c r="AA56" i="7" a="1"/>
  <c r="AA56" i="7" s="1"/>
  <c r="AB56" i="7" a="1"/>
  <c r="AB56" i="7" s="1"/>
  <c r="AC56" i="7" a="1"/>
  <c r="AC56" i="7" s="1"/>
  <c r="AG56" i="7" a="1"/>
  <c r="AG56" i="7" s="1"/>
  <c r="AH56" i="7" a="1"/>
  <c r="AH56" i="7" s="1"/>
  <c r="AD62" i="7" a="1"/>
  <c r="AD62" i="7" s="1"/>
  <c r="AF62" i="7" a="1"/>
  <c r="AF62" i="7" s="1"/>
  <c r="AH62" i="7" a="1"/>
  <c r="AH62" i="7" s="1"/>
  <c r="AG62" i="7" a="1"/>
  <c r="AG62" i="7" s="1"/>
  <c r="AE62" i="7" a="1"/>
  <c r="AE62" i="7" s="1"/>
  <c r="AC62" i="7" a="1"/>
  <c r="AC62" i="7" s="1"/>
  <c r="AB62" i="7" a="1"/>
  <c r="AB62" i="7" s="1"/>
  <c r="AA62" i="7" a="1"/>
  <c r="AA62" i="7" s="1"/>
  <c r="AD64" i="7" a="1"/>
  <c r="AD64" i="7" s="1"/>
  <c r="AF64" i="7" a="1"/>
  <c r="AF64" i="7" s="1"/>
  <c r="AC64" i="7" a="1"/>
  <c r="AC64" i="7" s="1"/>
  <c r="AB64" i="7" a="1"/>
  <c r="AB64" i="7" s="1"/>
  <c r="AE64" i="7" a="1"/>
  <c r="AE64" i="7" s="1"/>
  <c r="AA64" i="7" a="1"/>
  <c r="AA64" i="7" s="1"/>
  <c r="AH64" i="7" a="1"/>
  <c r="AH64" i="7" s="1"/>
  <c r="AG64" i="7" a="1"/>
  <c r="AG64" i="7" s="1"/>
  <c r="S65" i="7"/>
  <c r="S54" i="7"/>
  <c r="S55" i="7"/>
  <c r="S57" i="7"/>
  <c r="S58" i="7"/>
  <c r="S59" i="7"/>
  <c r="S60" i="7"/>
  <c r="S61" i="7"/>
  <c r="S52" i="7"/>
  <c r="Y30" i="7"/>
  <c r="T30" i="7" s="1"/>
  <c r="Y29" i="7"/>
  <c r="T29" i="7" s="1"/>
  <c r="Y28" i="7"/>
  <c r="T28" i="7" s="1"/>
  <c r="Y27" i="7"/>
  <c r="T27" i="7" s="1"/>
  <c r="Y26" i="7"/>
  <c r="T26" i="7" s="1"/>
  <c r="Y25" i="7"/>
  <c r="T25" i="7" s="1"/>
  <c r="Y24" i="7"/>
  <c r="T24" i="7" s="1"/>
  <c r="Y23" i="7"/>
  <c r="T23" i="7" s="1"/>
  <c r="Y22" i="7"/>
  <c r="T22" i="7" s="1"/>
  <c r="Y21" i="7"/>
  <c r="T21" i="7" s="1"/>
  <c r="Y20" i="7"/>
  <c r="T20" i="7" s="1"/>
  <c r="Y19" i="7"/>
  <c r="AI65" i="7" l="1" a="1"/>
  <c r="AI65" i="7" s="1"/>
  <c r="Z65" i="7" a="1"/>
  <c r="Z65" i="7" s="1"/>
  <c r="AJ65" i="7" a="1"/>
  <c r="AJ65" i="7" s="1"/>
  <c r="Z61" i="7" a="1"/>
  <c r="Z61" i="7" s="1"/>
  <c r="AJ61" i="7" a="1"/>
  <c r="AJ61" i="7" s="1"/>
  <c r="AI61" i="7" a="1"/>
  <c r="AI61" i="7" s="1"/>
  <c r="AJ60" i="7" a="1"/>
  <c r="AJ60" i="7" s="1"/>
  <c r="Z60" i="7" a="1"/>
  <c r="Z60" i="7" s="1"/>
  <c r="AI60" i="7" a="1"/>
  <c r="AI60" i="7" s="1"/>
  <c r="Z59" i="7" a="1"/>
  <c r="Z59" i="7" s="1"/>
  <c r="AI59" i="7" a="1"/>
  <c r="AI59" i="7" s="1"/>
  <c r="AJ59" i="7" a="1"/>
  <c r="AJ59" i="7" s="1"/>
  <c r="AJ58" i="7" a="1"/>
  <c r="AJ58" i="7" s="1"/>
  <c r="AI58" i="7" a="1"/>
  <c r="AI58" i="7" s="1"/>
  <c r="Z58" i="7" a="1"/>
  <c r="Z58" i="7" s="1"/>
  <c r="AJ57" i="7" a="1"/>
  <c r="AJ57" i="7" s="1"/>
  <c r="Z57" i="7" a="1"/>
  <c r="Z57" i="7" s="1"/>
  <c r="AI57" i="7" a="1"/>
  <c r="AI57" i="7" s="1"/>
  <c r="Z55" i="7" a="1"/>
  <c r="Z55" i="7" s="1"/>
  <c r="AJ55" i="7" a="1"/>
  <c r="AJ55" i="7" s="1"/>
  <c r="AI55" i="7" a="1"/>
  <c r="AI55" i="7" s="1"/>
  <c r="AI54" i="7" a="1"/>
  <c r="AI54" i="7" s="1"/>
  <c r="AJ54" i="7" a="1"/>
  <c r="AJ54" i="7" s="1"/>
  <c r="Z54" i="7" a="1"/>
  <c r="Z54" i="7" s="1"/>
  <c r="AI52" i="7" a="1"/>
  <c r="AI52" i="7" s="1"/>
  <c r="AJ52" i="7" a="1"/>
  <c r="AJ52" i="7" s="1"/>
  <c r="Z52" i="7" a="1"/>
  <c r="Z52" i="7" s="1"/>
  <c r="X19" i="7"/>
  <c r="AH19" i="7" s="1" a="1"/>
  <c r="AH19" i="7" s="1"/>
  <c r="T19" i="7"/>
  <c r="AG55" i="7" a="1"/>
  <c r="AG55" i="7" s="1"/>
  <c r="AH55" i="7" a="1"/>
  <c r="AH55" i="7" s="1"/>
  <c r="AB55" i="7" a="1"/>
  <c r="AB55" i="7" s="1"/>
  <c r="AC55" i="7" a="1"/>
  <c r="AC55" i="7" s="1"/>
  <c r="AA55" i="7" a="1"/>
  <c r="AA55" i="7" s="1"/>
  <c r="AC59" i="7" a="1"/>
  <c r="AC59" i="7" s="1"/>
  <c r="AB59" i="7" a="1"/>
  <c r="AB59" i="7" s="1"/>
  <c r="AA59" i="7" a="1"/>
  <c r="AA59" i="7" s="1"/>
  <c r="AG59" i="7" a="1"/>
  <c r="AG59" i="7" s="1"/>
  <c r="AH59" i="7" a="1"/>
  <c r="AH59" i="7" s="1"/>
  <c r="AH54" i="7" a="1"/>
  <c r="AH54" i="7" s="1"/>
  <c r="AG54" i="7" a="1"/>
  <c r="AG54" i="7" s="1"/>
  <c r="AC54" i="7" a="1"/>
  <c r="AC54" i="7" s="1"/>
  <c r="AB54" i="7" a="1"/>
  <c r="AB54" i="7" s="1"/>
  <c r="AA54" i="7" a="1"/>
  <c r="AA54" i="7" s="1"/>
  <c r="AD65" i="7" a="1"/>
  <c r="AD65" i="7" s="1"/>
  <c r="AF65" i="7" a="1"/>
  <c r="AF65" i="7" s="1"/>
  <c r="AE65" i="7" a="1"/>
  <c r="AE65" i="7" s="1"/>
  <c r="AC65" i="7" a="1"/>
  <c r="AC65" i="7" s="1"/>
  <c r="AB65" i="7" a="1"/>
  <c r="AB65" i="7" s="1"/>
  <c r="AA65" i="7" a="1"/>
  <c r="AA65" i="7" s="1"/>
  <c r="AH65" i="7" a="1"/>
  <c r="AH65" i="7" s="1"/>
  <c r="AG65" i="7" a="1"/>
  <c r="AG65" i="7" s="1"/>
  <c r="AC57" i="7" a="1"/>
  <c r="AC57" i="7" s="1"/>
  <c r="AB57" i="7" a="1"/>
  <c r="AB57" i="7" s="1"/>
  <c r="AA57" i="7" a="1"/>
  <c r="AA57" i="7" s="1"/>
  <c r="AH57" i="7" a="1"/>
  <c r="AH57" i="7" s="1"/>
  <c r="AG57" i="7" a="1"/>
  <c r="AG57" i="7" s="1"/>
  <c r="AD61" i="7" a="1"/>
  <c r="AD61" i="7" s="1"/>
  <c r="AF61" i="7" a="1"/>
  <c r="AF61" i="7" s="1"/>
  <c r="AH61" i="7" a="1"/>
  <c r="AH61" i="7" s="1"/>
  <c r="AG61" i="7" a="1"/>
  <c r="AG61" i="7" s="1"/>
  <c r="AE61" i="7" a="1"/>
  <c r="AE61" i="7" s="1"/>
  <c r="AC61" i="7" a="1"/>
  <c r="AC61" i="7" s="1"/>
  <c r="AB61" i="7" a="1"/>
  <c r="AB61" i="7" s="1"/>
  <c r="AA61" i="7" a="1"/>
  <c r="AA61" i="7" s="1"/>
  <c r="AH60" i="7" a="1"/>
  <c r="AH60" i="7" s="1"/>
  <c r="AG60" i="7" a="1"/>
  <c r="AG60" i="7" s="1"/>
  <c r="AC60" i="7" a="1"/>
  <c r="AC60" i="7" s="1"/>
  <c r="AA60" i="7" a="1"/>
  <c r="AA60" i="7" s="1"/>
  <c r="AB60" i="7" a="1"/>
  <c r="AB60" i="7" s="1"/>
  <c r="AC58" i="7" a="1"/>
  <c r="AC58" i="7" s="1"/>
  <c r="AB58" i="7" a="1"/>
  <c r="AB58" i="7" s="1"/>
  <c r="AA58" i="7" a="1"/>
  <c r="AA58" i="7" s="1"/>
  <c r="AH58" i="7" a="1"/>
  <c r="AH58" i="7" s="1"/>
  <c r="AG58" i="7" a="1"/>
  <c r="AG58" i="7" s="1"/>
  <c r="AA52" i="7" a="1"/>
  <c r="AA52" i="7" s="1"/>
  <c r="AH52" i="7" a="1"/>
  <c r="AH52" i="7" s="1"/>
  <c r="AG52" i="7" a="1"/>
  <c r="AG52" i="7" s="1"/>
  <c r="AC52" i="7" a="1"/>
  <c r="AC52" i="7" s="1"/>
  <c r="AB52" i="7" a="1"/>
  <c r="AB52" i="7" s="1"/>
  <c r="X20" i="7"/>
  <c r="X21" i="7"/>
  <c r="X23" i="7"/>
  <c r="X24" i="7"/>
  <c r="X25" i="7"/>
  <c r="X26" i="7"/>
  <c r="X27" i="7"/>
  <c r="X22" i="7"/>
  <c r="X28" i="7"/>
  <c r="X29" i="7"/>
  <c r="X30" i="7"/>
  <c r="C6" i="4"/>
  <c r="AG19" i="7" l="1" a="1"/>
  <c r="AG19" i="7" s="1"/>
  <c r="AA19" i="7" a="1"/>
  <c r="AA19" i="7" s="1"/>
  <c r="Z19" i="7" a="1"/>
  <c r="Z19" i="7" s="1"/>
  <c r="AJ19" i="7" a="1"/>
  <c r="AJ19" i="7" s="1"/>
  <c r="AI19" i="7" a="1"/>
  <c r="AI19" i="7" s="1"/>
  <c r="AC19" i="7" a="1"/>
  <c r="AC19" i="7" s="1"/>
  <c r="AB19" i="7" a="1"/>
  <c r="AB19" i="7" s="1"/>
  <c r="O6" i="4"/>
  <c r="AI23" i="7" a="1"/>
  <c r="AI23" i="7" s="1"/>
  <c r="AB23" i="7" a="1"/>
  <c r="AB23" i="7" s="1"/>
  <c r="AJ23" i="7" a="1"/>
  <c r="AJ23" i="7" s="1"/>
  <c r="Z23" i="7" a="1"/>
  <c r="Z23" i="7" s="1"/>
  <c r="AA23" i="7" a="1"/>
  <c r="AA23" i="7" s="1"/>
  <c r="AC23" i="7" a="1"/>
  <c r="AC23" i="7" s="1"/>
  <c r="AG23" i="7" a="1"/>
  <c r="AG23" i="7" s="1"/>
  <c r="AH23" i="7" a="1"/>
  <c r="AH23" i="7" s="1"/>
  <c r="AG21" i="7" a="1"/>
  <c r="AG21" i="7" s="1"/>
  <c r="Z21" i="7" a="1"/>
  <c r="Z21" i="7" s="1"/>
  <c r="AH21" i="7" a="1"/>
  <c r="AH21" i="7" s="1"/>
  <c r="AA21" i="7" a="1"/>
  <c r="AA21" i="7" s="1"/>
  <c r="AI21" i="7" a="1"/>
  <c r="AI21" i="7" s="1"/>
  <c r="AC21" i="7" a="1"/>
  <c r="AC21" i="7" s="1"/>
  <c r="AJ21" i="7" a="1"/>
  <c r="AJ21" i="7" s="1"/>
  <c r="AB21" i="7" a="1"/>
  <c r="AB21" i="7" s="1"/>
  <c r="Z20" i="7" a="1"/>
  <c r="Z20" i="7" s="1"/>
  <c r="AA20" i="7" a="1"/>
  <c r="AA20" i="7" s="1"/>
  <c r="AG20" i="7" a="1"/>
  <c r="AG20" i="7" s="1"/>
  <c r="AH20" i="7" a="1"/>
  <c r="AH20" i="7" s="1"/>
  <c r="AC20" i="7" a="1"/>
  <c r="AC20" i="7" s="1"/>
  <c r="AI20" i="7" a="1"/>
  <c r="AI20" i="7" s="1"/>
  <c r="AJ20" i="7" a="1"/>
  <c r="AJ20" i="7" s="1"/>
  <c r="AB20" i="7" a="1"/>
  <c r="AB20" i="7" s="1"/>
  <c r="AA30" i="7" a="1"/>
  <c r="AA30" i="7" s="1"/>
  <c r="Z30" i="7" a="1"/>
  <c r="Z30" i="7" s="1"/>
  <c r="AC30" i="7" a="1"/>
  <c r="AC30" i="7" s="1"/>
  <c r="AG30" i="7" a="1"/>
  <c r="AG30" i="7" s="1"/>
  <c r="AH30" i="7" a="1"/>
  <c r="AH30" i="7" s="1"/>
  <c r="AI30" i="7" a="1"/>
  <c r="AI30" i="7" s="1"/>
  <c r="AJ30" i="7" a="1"/>
  <c r="AJ30" i="7" s="1"/>
  <c r="AB30" i="7" a="1"/>
  <c r="AB30" i="7" s="1"/>
  <c r="AH29" i="7" a="1"/>
  <c r="AH29" i="7" s="1"/>
  <c r="Z29" i="7" a="1"/>
  <c r="Z29" i="7" s="1"/>
  <c r="AI29" i="7" a="1"/>
  <c r="AI29" i="7" s="1"/>
  <c r="AJ29" i="7" a="1"/>
  <c r="AJ29" i="7" s="1"/>
  <c r="AC29" i="7" a="1"/>
  <c r="AC29" i="7" s="1"/>
  <c r="AG29" i="7" a="1"/>
  <c r="AG29" i="7" s="1"/>
  <c r="AB29" i="7" a="1"/>
  <c r="AB29" i="7" s="1"/>
  <c r="AA29" i="7" a="1"/>
  <c r="AA29" i="7" s="1"/>
  <c r="AH22" i="7" a="1"/>
  <c r="AH22" i="7" s="1"/>
  <c r="AI22" i="7" a="1"/>
  <c r="AI22" i="7" s="1"/>
  <c r="Z22" i="7" a="1"/>
  <c r="Z22" i="7" s="1"/>
  <c r="AJ22" i="7" a="1"/>
  <c r="AJ22" i="7" s="1"/>
  <c r="AA22" i="7" a="1"/>
  <c r="AA22" i="7" s="1"/>
  <c r="AC22" i="7" a="1"/>
  <c r="AC22" i="7" s="1"/>
  <c r="AG22" i="7" a="1"/>
  <c r="AG22" i="7" s="1"/>
  <c r="AB22" i="7" a="1"/>
  <c r="AB22" i="7" s="1"/>
  <c r="AC27" i="7" a="1"/>
  <c r="AC27" i="7" s="1"/>
  <c r="AJ27" i="7" a="1"/>
  <c r="AJ27" i="7" s="1"/>
  <c r="AB27" i="7" a="1"/>
  <c r="AB27" i="7" s="1"/>
  <c r="AG27" i="7" a="1"/>
  <c r="AG27" i="7" s="1"/>
  <c r="AH27" i="7" a="1"/>
  <c r="AH27" i="7" s="1"/>
  <c r="AA27" i="7" a="1"/>
  <c r="AA27" i="7" s="1"/>
  <c r="AI27" i="7" a="1"/>
  <c r="AI27" i="7" s="1"/>
  <c r="Z27" i="7" a="1"/>
  <c r="Z27" i="7" s="1"/>
  <c r="AC28" i="7" a="1"/>
  <c r="AC28" i="7" s="1"/>
  <c r="AG28" i="7" a="1"/>
  <c r="AG28" i="7" s="1"/>
  <c r="AH28" i="7" a="1"/>
  <c r="AH28" i="7" s="1"/>
  <c r="AI28" i="7" a="1"/>
  <c r="AI28" i="7" s="1"/>
  <c r="AJ28" i="7" a="1"/>
  <c r="AJ28" i="7" s="1"/>
  <c r="AB28" i="7" a="1"/>
  <c r="AB28" i="7" s="1"/>
  <c r="AA28" i="7" a="1"/>
  <c r="AA28" i="7" s="1"/>
  <c r="Z28" i="7" a="1"/>
  <c r="Z28" i="7" s="1"/>
  <c r="AH26" i="7" a="1"/>
  <c r="AH26" i="7" s="1"/>
  <c r="AG26" i="7" a="1"/>
  <c r="AG26" i="7" s="1"/>
  <c r="AC26" i="7" a="1"/>
  <c r="AC26" i="7" s="1"/>
  <c r="AI26" i="7" a="1"/>
  <c r="AI26" i="7" s="1"/>
  <c r="AJ26" i="7" a="1"/>
  <c r="AJ26" i="7" s="1"/>
  <c r="AB26" i="7" a="1"/>
  <c r="AB26" i="7" s="1"/>
  <c r="AA26" i="7" a="1"/>
  <c r="AA26" i="7" s="1"/>
  <c r="Z26" i="7" a="1"/>
  <c r="Z26" i="7" s="1"/>
  <c r="AB25" i="7" a="1"/>
  <c r="AB25" i="7" s="1"/>
  <c r="AG25" i="7" a="1"/>
  <c r="AG25" i="7" s="1"/>
  <c r="AH25" i="7" a="1"/>
  <c r="AH25" i="7" s="1"/>
  <c r="AI25" i="7" a="1"/>
  <c r="AI25" i="7" s="1"/>
  <c r="AJ25" i="7" a="1"/>
  <c r="AJ25" i="7" s="1"/>
  <c r="AA25" i="7" a="1"/>
  <c r="AA25" i="7" s="1"/>
  <c r="Z25" i="7" a="1"/>
  <c r="Z25" i="7" s="1"/>
  <c r="AC25" i="7" a="1"/>
  <c r="AC25" i="7" s="1"/>
  <c r="AB24" i="7" a="1"/>
  <c r="AB24" i="7" s="1"/>
  <c r="Z24" i="7" a="1"/>
  <c r="Z24" i="7" s="1"/>
  <c r="AA24" i="7" a="1"/>
  <c r="AA24" i="7" s="1"/>
  <c r="AG24" i="7" a="1"/>
  <c r="AG24" i="7" s="1"/>
  <c r="AH24" i="7" a="1"/>
  <c r="AH24" i="7" s="1"/>
  <c r="AI24" i="7" a="1"/>
  <c r="AI24" i="7" s="1"/>
  <c r="AC24" i="7" a="1"/>
  <c r="AC24" i="7" s="1"/>
  <c r="AJ24" i="7" a="1"/>
  <c r="AJ24" i="7" s="1"/>
  <c r="K6" i="1" l="1"/>
  <c r="J6" i="1" s="1"/>
  <c r="G8" i="1" l="1"/>
  <c r="H7" i="7" s="1"/>
  <c r="D9" i="7" l="1"/>
  <c r="L7" i="4"/>
  <c r="V19" i="7" l="1"/>
  <c r="AN19" i="7" s="1"/>
  <c r="V24" i="7"/>
  <c r="V23" i="7"/>
  <c r="AN23" i="7" s="1"/>
  <c r="V30" i="7"/>
  <c r="V20" i="7"/>
  <c r="V29" i="7"/>
  <c r="V25" i="7"/>
  <c r="V22" i="7"/>
  <c r="V21" i="7"/>
  <c r="V27" i="7"/>
  <c r="V26" i="7"/>
  <c r="AN26" i="7" s="1"/>
  <c r="V28" i="7"/>
  <c r="C35" i="20"/>
  <c r="F268" i="2"/>
  <c r="F257" i="2"/>
  <c r="F246" i="2"/>
  <c r="F235" i="2"/>
  <c r="F224" i="2"/>
  <c r="F213" i="2"/>
  <c r="F202" i="2"/>
  <c r="F191" i="2"/>
  <c r="F180" i="2"/>
  <c r="F169" i="2"/>
  <c r="F158" i="2"/>
  <c r="F147" i="2"/>
  <c r="F136" i="2"/>
  <c r="F125" i="2"/>
  <c r="F114" i="2"/>
  <c r="F103" i="2"/>
  <c r="F92" i="2"/>
  <c r="F81" i="2"/>
  <c r="F70" i="2"/>
  <c r="F59" i="2"/>
  <c r="F48" i="2"/>
  <c r="F37" i="2"/>
  <c r="F26" i="2"/>
  <c r="F15" i="2"/>
  <c r="B15" i="4"/>
  <c r="B166" i="3" s="1"/>
  <c r="B14" i="4"/>
  <c r="B165" i="3" s="1"/>
  <c r="B13" i="4"/>
  <c r="B164" i="3" s="1"/>
  <c r="B12" i="4"/>
  <c r="B163" i="3" s="1"/>
  <c r="B11" i="4"/>
  <c r="B162" i="3" s="1"/>
  <c r="B10" i="4"/>
  <c r="B161" i="3" s="1"/>
  <c r="B9" i="4"/>
  <c r="B160" i="3" s="1"/>
  <c r="B8" i="4"/>
  <c r="B159" i="3" s="1"/>
  <c r="B16" i="4"/>
  <c r="B167" i="3" s="1"/>
  <c r="B5" i="4"/>
  <c r="B156" i="3" s="1"/>
  <c r="B6" i="4"/>
  <c r="B157" i="3" s="1"/>
  <c r="B7" i="4"/>
  <c r="B158" i="3" s="1"/>
  <c r="B17" i="4"/>
  <c r="B168" i="3" s="1"/>
  <c r="B18" i="4"/>
  <c r="B169" i="3" s="1"/>
  <c r="B19" i="4"/>
  <c r="B170" i="3" s="1"/>
  <c r="B20" i="4"/>
  <c r="B171" i="3" s="1"/>
  <c r="B21" i="4"/>
  <c r="B172" i="3" s="1"/>
  <c r="B22" i="4"/>
  <c r="B173" i="3" s="1"/>
  <c r="B23" i="4"/>
  <c r="B174" i="3" s="1"/>
  <c r="B24" i="4"/>
  <c r="B175" i="3" s="1"/>
  <c r="B25" i="4"/>
  <c r="B176" i="3" s="1"/>
  <c r="B26" i="4"/>
  <c r="B177" i="3" s="1"/>
  <c r="B27" i="4"/>
  <c r="B178" i="3" s="1"/>
  <c r="B28" i="4"/>
  <c r="B179" i="3" s="1"/>
  <c r="B29" i="4"/>
  <c r="B180" i="3" s="1"/>
  <c r="F4" i="2"/>
  <c r="Q14" i="7"/>
  <c r="S14" i="7" s="1"/>
  <c r="Q13" i="7"/>
  <c r="S13" i="7" s="1"/>
  <c r="Q12" i="7"/>
  <c r="S12" i="7" s="1"/>
  <c r="Q11" i="7"/>
  <c r="S11" i="7" s="1"/>
  <c r="Q10" i="7"/>
  <c r="S10" i="7" s="1"/>
  <c r="Q9" i="7"/>
  <c r="S9" i="7" s="1"/>
  <c r="J90" i="8"/>
  <c r="J87" i="8"/>
  <c r="J84" i="8"/>
  <c r="J81" i="8"/>
  <c r="J78" i="8"/>
  <c r="J75" i="8"/>
  <c r="J72" i="8"/>
  <c r="J69" i="8"/>
  <c r="J66" i="8"/>
  <c r="J63" i="8"/>
  <c r="J60" i="8"/>
  <c r="J57" i="8"/>
  <c r="J54" i="8"/>
  <c r="J51" i="8"/>
  <c r="J48" i="8"/>
  <c r="J45" i="8"/>
  <c r="J42" i="8"/>
  <c r="J39" i="8"/>
  <c r="J36" i="8"/>
  <c r="J33" i="8"/>
  <c r="J30" i="8"/>
  <c r="J27" i="8"/>
  <c r="J24" i="8"/>
  <c r="J21" i="8"/>
  <c r="J18" i="8"/>
  <c r="J16" i="6"/>
  <c r="K16" i="6" s="1"/>
  <c r="F58" i="7"/>
  <c r="M58" i="7" s="1"/>
  <c r="G58" i="7"/>
  <c r="F59" i="7"/>
  <c r="M59" i="7" s="1"/>
  <c r="G59" i="7"/>
  <c r="F60" i="7"/>
  <c r="M60" i="7" s="1"/>
  <c r="G60" i="7"/>
  <c r="F55" i="7"/>
  <c r="M55" i="7" s="1"/>
  <c r="G55" i="7"/>
  <c r="AE55" i="7" s="1" a="1"/>
  <c r="AE55" i="7" s="1"/>
  <c r="F56" i="7"/>
  <c r="M56" i="7" s="1"/>
  <c r="G56" i="7"/>
  <c r="F57" i="7"/>
  <c r="M57" i="7" s="1"/>
  <c r="G57" i="7"/>
  <c r="F52" i="7"/>
  <c r="M52" i="7" s="1"/>
  <c r="G52" i="7"/>
  <c r="F53" i="7"/>
  <c r="M53" i="7" s="1"/>
  <c r="G53" i="7"/>
  <c r="F54" i="7"/>
  <c r="M54" i="7" s="1"/>
  <c r="G54" i="7"/>
  <c r="G51" i="7"/>
  <c r="H51" i="7" s="1"/>
  <c r="R9" i="7"/>
  <c r="R10" i="7"/>
  <c r="R11" i="7"/>
  <c r="R12" i="7"/>
  <c r="R13" i="7"/>
  <c r="R14" i="7"/>
  <c r="R8" i="7"/>
  <c r="Q8" i="7"/>
  <c r="S8" i="7" s="1"/>
  <c r="V63" i="7"/>
  <c r="U58" i="7"/>
  <c r="W57" i="7"/>
  <c r="V56" i="7"/>
  <c r="U52" i="7"/>
  <c r="U56" i="7"/>
  <c r="U61" i="7"/>
  <c r="V61" i="7"/>
  <c r="C17" i="4"/>
  <c r="C14" i="4"/>
  <c r="O14" i="4" s="1"/>
  <c r="L33" i="6"/>
  <c r="E4" i="14"/>
  <c r="E9" i="1"/>
  <c r="N33" i="6"/>
  <c r="N34" i="6"/>
  <c r="N35" i="6"/>
  <c r="N36" i="6"/>
  <c r="N37" i="6"/>
  <c r="N38" i="6"/>
  <c r="N39" i="6"/>
  <c r="N40" i="6"/>
  <c r="N41" i="6"/>
  <c r="L37" i="6"/>
  <c r="L36" i="6"/>
  <c r="L35" i="6"/>
  <c r="L34" i="6"/>
  <c r="N32" i="6"/>
  <c r="N19" i="6"/>
  <c r="L38" i="6"/>
  <c r="L39" i="6"/>
  <c r="L40" i="6"/>
  <c r="L41" i="6"/>
  <c r="L32" i="6"/>
  <c r="M32" i="6" s="1"/>
  <c r="P37" i="6" s="1"/>
  <c r="O18" i="6"/>
  <c r="C3" i="14"/>
  <c r="N23" i="6"/>
  <c r="N22" i="6"/>
  <c r="N21" i="6"/>
  <c r="N20" i="6"/>
  <c r="N15" i="6"/>
  <c r="N14" i="6"/>
  <c r="N13" i="6"/>
  <c r="N12" i="6"/>
  <c r="N11" i="6"/>
  <c r="N10" i="6"/>
  <c r="N9" i="6"/>
  <c r="N8" i="6"/>
  <c r="C29" i="4"/>
  <c r="C28" i="4"/>
  <c r="C27" i="4"/>
  <c r="C26" i="4"/>
  <c r="C25" i="4"/>
  <c r="C24" i="4"/>
  <c r="C23" i="4"/>
  <c r="C22" i="4"/>
  <c r="C21" i="4"/>
  <c r="C20" i="4"/>
  <c r="C19" i="4"/>
  <c r="C18" i="4"/>
  <c r="C16" i="4"/>
  <c r="O16" i="4" s="1"/>
  <c r="C15" i="4"/>
  <c r="O15" i="4" s="1"/>
  <c r="C13" i="4"/>
  <c r="C12" i="4"/>
  <c r="O12" i="4" s="1"/>
  <c r="C11" i="4"/>
  <c r="O11" i="4" s="1"/>
  <c r="C10" i="4"/>
  <c r="O10" i="4" s="1"/>
  <c r="C9" i="4"/>
  <c r="O9" i="4" s="1"/>
  <c r="C8" i="4"/>
  <c r="C7" i="4"/>
  <c r="C5" i="4"/>
  <c r="E138" i="3"/>
  <c r="F138" i="3" s="1"/>
  <c r="F35" i="1"/>
  <c r="D11" i="7"/>
  <c r="W59" i="7" s="1"/>
  <c r="A21" i="4"/>
  <c r="A24" i="4"/>
  <c r="A19" i="4"/>
  <c r="A15" i="4"/>
  <c r="A13" i="4"/>
  <c r="A11" i="4"/>
  <c r="A10" i="4"/>
  <c r="L23" i="6"/>
  <c r="J23" i="6"/>
  <c r="J22" i="6"/>
  <c r="K22" i="6" s="1"/>
  <c r="J21" i="6"/>
  <c r="K21" i="6" s="1"/>
  <c r="J20" i="6"/>
  <c r="K20" i="6" s="1"/>
  <c r="J14" i="6"/>
  <c r="K14" i="6" s="1"/>
  <c r="J13" i="6"/>
  <c r="K13" i="6" s="1"/>
  <c r="J12" i="6"/>
  <c r="K12" i="6" s="1"/>
  <c r="J8" i="6"/>
  <c r="K8" i="6" s="1"/>
  <c r="I8" i="6"/>
  <c r="I86" i="8"/>
  <c r="I85" i="8"/>
  <c r="I84" i="8"/>
  <c r="I83" i="8"/>
  <c r="I82" i="8"/>
  <c r="I81" i="8"/>
  <c r="I80" i="8"/>
  <c r="I79" i="8"/>
  <c r="I78" i="8"/>
  <c r="I77" i="8"/>
  <c r="I76" i="8"/>
  <c r="I75" i="8"/>
  <c r="I74" i="8"/>
  <c r="I73" i="8"/>
  <c r="I72" i="8"/>
  <c r="I71" i="8"/>
  <c r="I70" i="8"/>
  <c r="I69" i="8"/>
  <c r="I68" i="8"/>
  <c r="I67" i="8"/>
  <c r="I66" i="8"/>
  <c r="I65" i="8"/>
  <c r="I64" i="8"/>
  <c r="I63" i="8"/>
  <c r="I62" i="8"/>
  <c r="I61" i="8"/>
  <c r="I60" i="8"/>
  <c r="I59" i="8"/>
  <c r="J7" i="6" s="1"/>
  <c r="K7" i="6" s="1"/>
  <c r="I58" i="8"/>
  <c r="I57" i="8"/>
  <c r="I56" i="8"/>
  <c r="I55" i="8"/>
  <c r="I54" i="8"/>
  <c r="I53" i="8"/>
  <c r="I52" i="8"/>
  <c r="I51" i="8"/>
  <c r="I50" i="8"/>
  <c r="I49" i="8"/>
  <c r="I48" i="8"/>
  <c r="I47" i="8"/>
  <c r="I46" i="8"/>
  <c r="I45" i="8"/>
  <c r="I44" i="8"/>
  <c r="I43" i="8"/>
  <c r="I42" i="8"/>
  <c r="I41" i="8"/>
  <c r="I40" i="8"/>
  <c r="I39" i="8"/>
  <c r="I38" i="8"/>
  <c r="I37" i="8"/>
  <c r="I36" i="8"/>
  <c r="I35" i="8"/>
  <c r="I34" i="8"/>
  <c r="I33" i="8"/>
  <c r="I32" i="8"/>
  <c r="I31" i="8"/>
  <c r="I30" i="8"/>
  <c r="I29" i="8"/>
  <c r="I28" i="8"/>
  <c r="I27" i="8"/>
  <c r="I26" i="8"/>
  <c r="I25" i="8"/>
  <c r="I24" i="8"/>
  <c r="I23" i="8"/>
  <c r="I22" i="8"/>
  <c r="I21" i="8"/>
  <c r="I20" i="8"/>
  <c r="I19" i="8"/>
  <c r="I18" i="8"/>
  <c r="H31" i="4"/>
  <c r="G31" i="4"/>
  <c r="F31" i="4"/>
  <c r="E31" i="4"/>
  <c r="L29" i="4"/>
  <c r="L28" i="4"/>
  <c r="L27" i="4"/>
  <c r="L26" i="4"/>
  <c r="L25" i="4"/>
  <c r="L24" i="4"/>
  <c r="L23" i="4"/>
  <c r="L22" i="4"/>
  <c r="L21" i="4"/>
  <c r="L20" i="4"/>
  <c r="L19" i="4"/>
  <c r="L18" i="4"/>
  <c r="L17" i="4"/>
  <c r="L16" i="4"/>
  <c r="L15" i="4"/>
  <c r="L14" i="4"/>
  <c r="L13" i="4"/>
  <c r="L12" i="4"/>
  <c r="L11" i="4"/>
  <c r="L10" i="4"/>
  <c r="L9" i="4"/>
  <c r="L8" i="4"/>
  <c r="L6" i="4"/>
  <c r="L5" i="4"/>
  <c r="E21" i="6"/>
  <c r="O1" i="6"/>
  <c r="K31" i="4"/>
  <c r="J31" i="4"/>
  <c r="I31" i="4"/>
  <c r="B5" i="20"/>
  <c r="B4" i="20"/>
  <c r="I92" i="8"/>
  <c r="I91" i="8"/>
  <c r="I90" i="8"/>
  <c r="I89" i="8"/>
  <c r="I88" i="8"/>
  <c r="I87" i="8"/>
  <c r="J11" i="6"/>
  <c r="K11" i="6" s="1"/>
  <c r="I11" i="6"/>
  <c r="J10" i="6"/>
  <c r="K10" i="6" s="1"/>
  <c r="J9" i="6"/>
  <c r="K9" i="6" s="1"/>
  <c r="J19" i="6"/>
  <c r="K19" i="6" s="1"/>
  <c r="J15" i="6"/>
  <c r="K15" i="6" s="1"/>
  <c r="L25" i="6"/>
  <c r="J25" i="6"/>
  <c r="M26" i="6"/>
  <c r="B1" i="20"/>
  <c r="K1" i="8"/>
  <c r="L1" i="4"/>
  <c r="A8" i="14"/>
  <c r="A7" i="14" s="1"/>
  <c r="AP25" i="7"/>
  <c r="AP22" i="7"/>
  <c r="AO27" i="7"/>
  <c r="AO28" i="7"/>
  <c r="R4" i="7"/>
  <c r="F7" i="10"/>
  <c r="F1" i="14"/>
  <c r="G1" i="2"/>
  <c r="AD53" i="7" l="1" a="1"/>
  <c r="AD53" i="7" s="1"/>
  <c r="H52" i="7"/>
  <c r="AF52" i="7" s="1" a="1"/>
  <c r="AF52" i="7" s="1"/>
  <c r="AE52" i="7" a="1"/>
  <c r="AE52" i="7" s="1"/>
  <c r="AD52" i="7" a="1"/>
  <c r="AD52" i="7" s="1"/>
  <c r="AD58" i="7" a="1"/>
  <c r="AD58" i="7" s="1"/>
  <c r="H57" i="7"/>
  <c r="AF57" i="7" s="1" a="1"/>
  <c r="AF57" i="7" s="1"/>
  <c r="AE57" i="7" a="1"/>
  <c r="AE57" i="7" s="1"/>
  <c r="AD57" i="7" a="1"/>
  <c r="AD57" i="7" s="1"/>
  <c r="H56" i="7"/>
  <c r="AF56" i="7" s="1" a="1"/>
  <c r="AF56" i="7" s="1"/>
  <c r="AE56" i="7" a="1"/>
  <c r="AE56" i="7" s="1"/>
  <c r="AD59" i="7" a="1"/>
  <c r="AD59" i="7" s="1"/>
  <c r="AD56" i="7" a="1"/>
  <c r="AD56" i="7" s="1"/>
  <c r="AD55" i="7" a="1"/>
  <c r="AD55" i="7" s="1"/>
  <c r="H54" i="7"/>
  <c r="AF54" i="7" s="1" a="1"/>
  <c r="AF54" i="7" s="1"/>
  <c r="AE54" i="7" a="1"/>
  <c r="AE54" i="7" s="1"/>
  <c r="H60" i="7"/>
  <c r="AF60" i="7" s="1" a="1"/>
  <c r="AF60" i="7" s="1"/>
  <c r="AE60" i="7" a="1"/>
  <c r="AE60" i="7" s="1"/>
  <c r="AD54" i="7" a="1"/>
  <c r="AD54" i="7" s="1"/>
  <c r="AD60" i="7" a="1"/>
  <c r="AD60" i="7" s="1"/>
  <c r="H53" i="7"/>
  <c r="AF53" i="7" s="1" a="1"/>
  <c r="AF53" i="7" s="1"/>
  <c r="AE53" i="7" a="1"/>
  <c r="AE53" i="7" s="1"/>
  <c r="H59" i="7"/>
  <c r="AF59" i="7" s="1" a="1"/>
  <c r="AF59" i="7" s="1"/>
  <c r="AE59" i="7" a="1"/>
  <c r="AE59" i="7" s="1"/>
  <c r="H58" i="7"/>
  <c r="AF58" i="7" s="1" a="1"/>
  <c r="AF58" i="7" s="1"/>
  <c r="AE58" i="7" a="1"/>
  <c r="AE58" i="7" s="1"/>
  <c r="O5" i="4"/>
  <c r="O7" i="4"/>
  <c r="O8" i="4"/>
  <c r="O13" i="4"/>
  <c r="A16" i="4"/>
  <c r="J5" i="6"/>
  <c r="J26" i="6" s="1"/>
  <c r="A26" i="4"/>
  <c r="A12" i="4"/>
  <c r="W52" i="7"/>
  <c r="W19" i="7"/>
  <c r="W30" i="7"/>
  <c r="W28" i="7"/>
  <c r="W23" i="7"/>
  <c r="W24" i="7"/>
  <c r="W25" i="7"/>
  <c r="W20" i="7"/>
  <c r="W21" i="7"/>
  <c r="W29" i="7"/>
  <c r="W27" i="7"/>
  <c r="W26" i="7"/>
  <c r="W22" i="7"/>
  <c r="W53" i="7"/>
  <c r="U19" i="7"/>
  <c r="AM19" i="7" s="1"/>
  <c r="U30" i="7"/>
  <c r="AM30" i="7" s="1"/>
  <c r="U24" i="7"/>
  <c r="AM24" i="7" s="1"/>
  <c r="U28" i="7"/>
  <c r="AM28" i="7" s="1"/>
  <c r="U29" i="7"/>
  <c r="AM29" i="7" s="1"/>
  <c r="U25" i="7"/>
  <c r="AM25" i="7" s="1"/>
  <c r="U20" i="7"/>
  <c r="AM20" i="7" s="1"/>
  <c r="U21" i="7"/>
  <c r="AM21" i="7" s="1"/>
  <c r="U26" i="7"/>
  <c r="AM26" i="7" s="1"/>
  <c r="U23" i="7"/>
  <c r="AM23" i="7" s="1"/>
  <c r="U22" i="7"/>
  <c r="AM22" i="7" s="1"/>
  <c r="U27" i="7"/>
  <c r="AM27" i="7" s="1"/>
  <c r="AL19" i="7"/>
  <c r="AL23" i="7"/>
  <c r="AL28" i="7"/>
  <c r="AL21" i="7"/>
  <c r="AL29" i="7"/>
  <c r="AL25" i="7"/>
  <c r="AL20" i="7"/>
  <c r="AL26" i="7"/>
  <c r="AL30" i="7"/>
  <c r="AL22" i="7"/>
  <c r="AL27" i="7"/>
  <c r="AL24" i="7"/>
  <c r="W62" i="7"/>
  <c r="B34" i="6"/>
  <c r="U63" i="7"/>
  <c r="V64" i="7"/>
  <c r="U64" i="7"/>
  <c r="W64" i="7"/>
  <c r="A25" i="4"/>
  <c r="A7" i="4"/>
  <c r="A27" i="4"/>
  <c r="A17" i="4"/>
  <c r="A18" i="4"/>
  <c r="A23" i="4"/>
  <c r="E18" i="3"/>
  <c r="F18" i="3" s="1"/>
  <c r="A20" i="4"/>
  <c r="A9" i="4"/>
  <c r="A14" i="4"/>
  <c r="A29" i="4"/>
  <c r="A8" i="4"/>
  <c r="A5" i="4"/>
  <c r="L19" i="6"/>
  <c r="L14" i="6"/>
  <c r="L8" i="6"/>
  <c r="AN22" i="7"/>
  <c r="AO22" i="7"/>
  <c r="W54" i="7"/>
  <c r="U54" i="7"/>
  <c r="AO30" i="7"/>
  <c r="AP30" i="7"/>
  <c r="AN29" i="7"/>
  <c r="AP29" i="7"/>
  <c r="AO29" i="7"/>
  <c r="AP28" i="7"/>
  <c r="AN27" i="7"/>
  <c r="AP27" i="7"/>
  <c r="AP26" i="7"/>
  <c r="AO26" i="7"/>
  <c r="AO25" i="7"/>
  <c r="AN25" i="7"/>
  <c r="AP24" i="7"/>
  <c r="AP23" i="7"/>
  <c r="AP21" i="7"/>
  <c r="AP20" i="7"/>
  <c r="AO19" i="7"/>
  <c r="AP19" i="7"/>
  <c r="AN20" i="7"/>
  <c r="W63" i="7"/>
  <c r="V59" i="7"/>
  <c r="AO23" i="7"/>
  <c r="V53" i="7"/>
  <c r="AN28" i="7"/>
  <c r="V62" i="7"/>
  <c r="U55" i="7"/>
  <c r="U60" i="7"/>
  <c r="V55" i="7"/>
  <c r="W60" i="7"/>
  <c r="R15" i="7"/>
  <c r="S15" i="7" s="1"/>
  <c r="Q15" i="7"/>
  <c r="J6" i="6"/>
  <c r="K6" i="6" s="1"/>
  <c r="A6" i="4"/>
  <c r="E107" i="3"/>
  <c r="F107" i="3" s="1"/>
  <c r="E59" i="3"/>
  <c r="F59" i="3" s="1"/>
  <c r="E100" i="3"/>
  <c r="F100" i="3" s="1"/>
  <c r="E20" i="3"/>
  <c r="F20" i="3" s="1"/>
  <c r="E52" i="3"/>
  <c r="F52" i="3" s="1"/>
  <c r="E31" i="3"/>
  <c r="F31" i="3" s="1"/>
  <c r="E58" i="3"/>
  <c r="F58" i="3" s="1"/>
  <c r="E126" i="3"/>
  <c r="F126" i="3" s="1"/>
  <c r="E78" i="3"/>
  <c r="F78" i="3" s="1"/>
  <c r="AN30" i="7"/>
  <c r="V60" i="7"/>
  <c r="V52" i="7"/>
  <c r="W58" i="7"/>
  <c r="W61" i="7"/>
  <c r="U59" i="7"/>
  <c r="U53" i="7"/>
  <c r="V58" i="7"/>
  <c r="U57" i="7"/>
  <c r="W56" i="7"/>
  <c r="W55" i="7"/>
  <c r="AN21" i="7"/>
  <c r="AN24" i="7"/>
  <c r="V54" i="7"/>
  <c r="V57" i="7"/>
  <c r="AO21" i="7"/>
  <c r="AO20" i="7"/>
  <c r="U62" i="7"/>
  <c r="AO24" i="7"/>
  <c r="L31" i="4"/>
  <c r="F19" i="7" s="1"/>
  <c r="E38" i="3"/>
  <c r="F38" i="3" s="1"/>
  <c r="E19" i="3"/>
  <c r="F19" i="3" s="1"/>
  <c r="F3" i="3"/>
  <c r="E15" i="3"/>
  <c r="F15" i="3" s="1"/>
  <c r="E95" i="3"/>
  <c r="F95" i="3" s="1"/>
  <c r="E47" i="3"/>
  <c r="F47" i="3" s="1"/>
  <c r="E50" i="3"/>
  <c r="F50" i="3" s="1"/>
  <c r="E121" i="3"/>
  <c r="F121" i="3" s="1"/>
  <c r="E73" i="3"/>
  <c r="F73" i="3" s="1"/>
  <c r="E130" i="3"/>
  <c r="F130" i="3" s="1"/>
  <c r="E149" i="3"/>
  <c r="F149" i="3" s="1"/>
  <c r="E104" i="3"/>
  <c r="F104" i="3" s="1"/>
  <c r="E56" i="3"/>
  <c r="F56" i="3" s="1"/>
  <c r="E14" i="3"/>
  <c r="F14" i="3" s="1"/>
  <c r="E9" i="3"/>
  <c r="F9" i="3" s="1"/>
  <c r="E12" i="3"/>
  <c r="F12" i="3" s="1"/>
  <c r="E21" i="3"/>
  <c r="F21" i="3" s="1"/>
  <c r="E142" i="3"/>
  <c r="F142" i="3" s="1"/>
  <c r="E144" i="3"/>
  <c r="F144" i="3" s="1"/>
  <c r="E92" i="3"/>
  <c r="F92" i="3" s="1"/>
  <c r="E44" i="3"/>
  <c r="F44" i="3" s="1"/>
  <c r="E118" i="3"/>
  <c r="F118" i="3" s="1"/>
  <c r="E70" i="3"/>
  <c r="F70" i="3" s="1"/>
  <c r="E117" i="3"/>
  <c r="F117" i="3" s="1"/>
  <c r="E148" i="3"/>
  <c r="F148" i="3" s="1"/>
  <c r="E99" i="3"/>
  <c r="F99" i="3" s="1"/>
  <c r="E51" i="3"/>
  <c r="F51" i="3" s="1"/>
  <c r="E10" i="3"/>
  <c r="F10" i="3" s="1"/>
  <c r="E13" i="3"/>
  <c r="F13" i="3" s="1"/>
  <c r="E28" i="3"/>
  <c r="F28" i="3" s="1"/>
  <c r="E22" i="3"/>
  <c r="F22" i="3" s="1"/>
  <c r="E125" i="3"/>
  <c r="F125" i="3" s="1"/>
  <c r="E140" i="3"/>
  <c r="F140" i="3" s="1"/>
  <c r="E87" i="3"/>
  <c r="F87" i="3" s="1"/>
  <c r="E113" i="3"/>
  <c r="F113" i="3" s="1"/>
  <c r="E65" i="3"/>
  <c r="F65" i="3" s="1"/>
  <c r="E101" i="3"/>
  <c r="F101" i="3" s="1"/>
  <c r="E145" i="3"/>
  <c r="F145" i="3" s="1"/>
  <c r="E96" i="3"/>
  <c r="F96" i="3" s="1"/>
  <c r="E48" i="3"/>
  <c r="F48" i="3" s="1"/>
  <c r="E36" i="3"/>
  <c r="F36" i="3" s="1"/>
  <c r="E33" i="3"/>
  <c r="F33" i="3" s="1"/>
  <c r="E6" i="3"/>
  <c r="F6" i="3" s="1"/>
  <c r="A28" i="4"/>
  <c r="E109" i="3"/>
  <c r="F109" i="3" s="1"/>
  <c r="E135" i="3"/>
  <c r="F135" i="3" s="1"/>
  <c r="E84" i="3"/>
  <c r="F84" i="3" s="1"/>
  <c r="E147" i="3"/>
  <c r="F147" i="3" s="1"/>
  <c r="E110" i="3"/>
  <c r="F110" i="3" s="1"/>
  <c r="E62" i="3"/>
  <c r="F62" i="3" s="1"/>
  <c r="E90" i="3"/>
  <c r="F90" i="3" s="1"/>
  <c r="E139" i="3"/>
  <c r="F139" i="3" s="1"/>
  <c r="E91" i="3"/>
  <c r="F91" i="3" s="1"/>
  <c r="E43" i="3"/>
  <c r="F43" i="3" s="1"/>
  <c r="E39" i="3"/>
  <c r="F39" i="3" s="1"/>
  <c r="E29" i="3"/>
  <c r="F29" i="3" s="1"/>
  <c r="E30" i="3"/>
  <c r="F30" i="3" s="1"/>
  <c r="E98" i="3"/>
  <c r="F98" i="3" s="1"/>
  <c r="E132" i="3"/>
  <c r="F132" i="3" s="1"/>
  <c r="E79" i="3"/>
  <c r="F79" i="3" s="1"/>
  <c r="E133" i="3"/>
  <c r="F133" i="3" s="1"/>
  <c r="E105" i="3"/>
  <c r="F105" i="3" s="1"/>
  <c r="E57" i="3"/>
  <c r="F57" i="3" s="1"/>
  <c r="E77" i="3"/>
  <c r="F77" i="3" s="1"/>
  <c r="E136" i="3"/>
  <c r="F136" i="3" s="1"/>
  <c r="E88" i="3"/>
  <c r="F88" i="3" s="1"/>
  <c r="E40" i="3"/>
  <c r="F40" i="3" s="1"/>
  <c r="E32" i="3"/>
  <c r="F32" i="3" s="1"/>
  <c r="E26" i="3"/>
  <c r="F26" i="3" s="1"/>
  <c r="E85" i="3"/>
  <c r="F85" i="3" s="1"/>
  <c r="E127" i="3"/>
  <c r="F127" i="3" s="1"/>
  <c r="E76" i="3"/>
  <c r="F76" i="3" s="1"/>
  <c r="E122" i="3"/>
  <c r="F122" i="3" s="1"/>
  <c r="E151" i="3"/>
  <c r="F151" i="3" s="1"/>
  <c r="E102" i="3"/>
  <c r="F102" i="3" s="1"/>
  <c r="E54" i="3"/>
  <c r="F54" i="3" s="1"/>
  <c r="E66" i="3"/>
  <c r="F66" i="3" s="1"/>
  <c r="E131" i="3"/>
  <c r="F131" i="3" s="1"/>
  <c r="E83" i="3"/>
  <c r="F83" i="3" s="1"/>
  <c r="E8" i="3"/>
  <c r="F8" i="3" s="1"/>
  <c r="E23" i="3"/>
  <c r="F23" i="3" s="1"/>
  <c r="A22" i="4"/>
  <c r="E74" i="3"/>
  <c r="F74" i="3" s="1"/>
  <c r="E124" i="3"/>
  <c r="F124" i="3" s="1"/>
  <c r="E71" i="3"/>
  <c r="F71" i="3" s="1"/>
  <c r="E114" i="3"/>
  <c r="F114" i="3" s="1"/>
  <c r="E146" i="3"/>
  <c r="F146" i="3" s="1"/>
  <c r="E97" i="3"/>
  <c r="F97" i="3" s="1"/>
  <c r="E49" i="3"/>
  <c r="F49" i="3" s="1"/>
  <c r="E53" i="3"/>
  <c r="F53" i="3" s="1"/>
  <c r="E128" i="3"/>
  <c r="F128" i="3" s="1"/>
  <c r="E80" i="3"/>
  <c r="F80" i="3" s="1"/>
  <c r="E141" i="3"/>
  <c r="F141" i="3" s="1"/>
  <c r="E11" i="3"/>
  <c r="F11" i="3" s="1"/>
  <c r="E5" i="3"/>
  <c r="F5" i="3" s="1"/>
  <c r="E4" i="3"/>
  <c r="F4" i="3" s="1"/>
  <c r="E34" i="3"/>
  <c r="F34" i="3" s="1"/>
  <c r="E61" i="3"/>
  <c r="F61" i="3" s="1"/>
  <c r="E119" i="3"/>
  <c r="F119" i="3" s="1"/>
  <c r="E68" i="3"/>
  <c r="F68" i="3" s="1"/>
  <c r="E106" i="3"/>
  <c r="F106" i="3" s="1"/>
  <c r="E143" i="3"/>
  <c r="F143" i="3" s="1"/>
  <c r="E94" i="3"/>
  <c r="F94" i="3" s="1"/>
  <c r="E46" i="3"/>
  <c r="F46" i="3" s="1"/>
  <c r="E45" i="3"/>
  <c r="F45" i="3" s="1"/>
  <c r="E123" i="3"/>
  <c r="F123" i="3" s="1"/>
  <c r="E75" i="3"/>
  <c r="F75" i="3" s="1"/>
  <c r="E35" i="3"/>
  <c r="F35" i="3" s="1"/>
  <c r="E7" i="3"/>
  <c r="F7" i="3" s="1"/>
  <c r="E108" i="3"/>
  <c r="F108" i="3" s="1"/>
  <c r="E42" i="3"/>
  <c r="F42" i="3" s="1"/>
  <c r="E116" i="3"/>
  <c r="F116" i="3" s="1"/>
  <c r="E63" i="3"/>
  <c r="F63" i="3" s="1"/>
  <c r="E93" i="3"/>
  <c r="F93" i="3" s="1"/>
  <c r="E137" i="3"/>
  <c r="F137" i="3" s="1"/>
  <c r="E89" i="3"/>
  <c r="F89" i="3" s="1"/>
  <c r="E41" i="3"/>
  <c r="F41" i="3" s="1"/>
  <c r="E120" i="3"/>
  <c r="F120" i="3" s="1"/>
  <c r="E72" i="3"/>
  <c r="F72" i="3" s="1"/>
  <c r="E37" i="3"/>
  <c r="F37" i="3" s="1"/>
  <c r="E27" i="3"/>
  <c r="F27" i="3" s="1"/>
  <c r="E25" i="3"/>
  <c r="F25" i="3" s="1"/>
  <c r="E111" i="3"/>
  <c r="F111" i="3" s="1"/>
  <c r="E60" i="3"/>
  <c r="F60" i="3" s="1"/>
  <c r="E82" i="3"/>
  <c r="F82" i="3" s="1"/>
  <c r="E134" i="3"/>
  <c r="F134" i="3" s="1"/>
  <c r="E86" i="3"/>
  <c r="F86" i="3" s="1"/>
  <c r="E115" i="3"/>
  <c r="F115" i="3" s="1"/>
  <c r="E67" i="3"/>
  <c r="F67" i="3" s="1"/>
  <c r="E24" i="3"/>
  <c r="F24" i="3" s="1"/>
  <c r="E17" i="3"/>
  <c r="F17" i="3" s="1"/>
  <c r="E16" i="3"/>
  <c r="F16" i="3" s="1"/>
  <c r="E103" i="3"/>
  <c r="F103" i="3" s="1"/>
  <c r="E55" i="3"/>
  <c r="F55" i="3" s="1"/>
  <c r="E69" i="3"/>
  <c r="F69" i="3" s="1"/>
  <c r="E129" i="3"/>
  <c r="F129" i="3" s="1"/>
  <c r="E81" i="3"/>
  <c r="F81" i="3" s="1"/>
  <c r="E150" i="3"/>
  <c r="F150" i="3" s="1"/>
  <c r="E112" i="3"/>
  <c r="F112" i="3" s="1"/>
  <c r="E64" i="3"/>
  <c r="F64" i="3" s="1"/>
  <c r="F17" i="6"/>
  <c r="H55" i="7"/>
  <c r="AF55" i="7" s="1" a="1"/>
  <c r="AF55" i="7" s="1"/>
  <c r="D176" i="3"/>
  <c r="D162" i="3"/>
  <c r="D167" i="3"/>
  <c r="D160" i="3"/>
  <c r="D172" i="3"/>
  <c r="D159" i="3"/>
  <c r="D156" i="3"/>
  <c r="D168" i="3"/>
  <c r="D157" i="3"/>
  <c r="D158" i="3"/>
  <c r="D179" i="3"/>
  <c r="D175" i="3"/>
  <c r="D180" i="3"/>
  <c r="D171" i="3"/>
  <c r="D163" i="3"/>
  <c r="D170" i="3"/>
  <c r="D174" i="3"/>
  <c r="D169" i="3"/>
  <c r="D164" i="3"/>
  <c r="D178" i="3"/>
  <c r="D173" i="3"/>
  <c r="D165" i="3"/>
  <c r="D177" i="3"/>
  <c r="D166" i="3"/>
  <c r="D161" i="3"/>
  <c r="B7" i="14"/>
  <c r="B8" i="14"/>
  <c r="D3" i="14"/>
  <c r="M28" i="6"/>
  <c r="G20" i="7" l="1"/>
  <c r="G19" i="7"/>
  <c r="AE19" i="7" s="1" a="1"/>
  <c r="AE19" i="7" s="1"/>
  <c r="S7" i="7"/>
  <c r="R5" i="7" s="1"/>
  <c r="K5" i="6"/>
  <c r="L5" i="6" s="1"/>
  <c r="L26" i="6" s="1"/>
  <c r="F152" i="3"/>
  <c r="C40" i="1" s="1"/>
  <c r="F22" i="7"/>
  <c r="F21" i="7"/>
  <c r="AD21" i="7" s="1" a="1"/>
  <c r="AD21" i="7" s="1"/>
  <c r="F29" i="7"/>
  <c r="AD29" i="7" s="1" a="1"/>
  <c r="AD29" i="7" s="1"/>
  <c r="G22" i="7"/>
  <c r="G28" i="7"/>
  <c r="G25" i="7"/>
  <c r="AE25" i="7" s="1" a="1"/>
  <c r="AE25" i="7" s="1"/>
  <c r="F27" i="7"/>
  <c r="AD27" i="7" s="1" a="1"/>
  <c r="AD27" i="7" s="1"/>
  <c r="K28" i="6"/>
  <c r="E15" i="6" s="1"/>
  <c r="AE20" i="7" a="1"/>
  <c r="AE20" i="7" s="1"/>
  <c r="G23" i="7"/>
  <c r="G29" i="7"/>
  <c r="G27" i="7"/>
  <c r="AE27" i="7" s="1" a="1"/>
  <c r="AE27" i="7" s="1"/>
  <c r="F25" i="7"/>
  <c r="AD25" i="7" s="1" a="1"/>
  <c r="AD25" i="7" s="1"/>
  <c r="G21" i="7"/>
  <c r="F23" i="7"/>
  <c r="AD23" i="7" s="1" a="1"/>
  <c r="AD23" i="7" s="1"/>
  <c r="C165" i="3" a="1"/>
  <c r="C165" i="3" s="1"/>
  <c r="C158" i="3" a="1"/>
  <c r="C158" i="3" s="1"/>
  <c r="F30" i="7"/>
  <c r="AD30" i="7" s="1" a="1"/>
  <c r="AD30" i="7" s="1"/>
  <c r="G26" i="7"/>
  <c r="AE26" i="7" s="1" a="1"/>
  <c r="AE26" i="7" s="1"/>
  <c r="F24" i="7"/>
  <c r="G24" i="7"/>
  <c r="AE24" i="7" s="1" a="1"/>
  <c r="AE24" i="7" s="1"/>
  <c r="F20" i="7"/>
  <c r="F28" i="7"/>
  <c r="AD28" i="7" s="1" a="1"/>
  <c r="AD28" i="7" s="1"/>
  <c r="F26" i="7"/>
  <c r="AD26" i="7" s="1" a="1"/>
  <c r="AD26" i="7" s="1"/>
  <c r="G30" i="7"/>
  <c r="AE30" i="7" s="1" a="1"/>
  <c r="AE30" i="7" s="1"/>
  <c r="C168" i="3" a="1"/>
  <c r="C168" i="3" s="1"/>
  <c r="C174" i="3" a="1"/>
  <c r="C174" i="3" s="1"/>
  <c r="C180" i="3" a="1"/>
  <c r="C180" i="3" s="1"/>
  <c r="C175" i="3" a="1"/>
  <c r="C175" i="3" s="1"/>
  <c r="E152" i="3"/>
  <c r="C177" i="3" a="1"/>
  <c r="C177" i="3" s="1"/>
  <c r="C157" i="3" a="1"/>
  <c r="C157" i="3" s="1"/>
  <c r="C159" i="3" a="1"/>
  <c r="C159" i="3" s="1"/>
  <c r="C173" i="3" a="1"/>
  <c r="C173" i="3" s="1"/>
  <c r="C166" i="3" a="1"/>
  <c r="C166" i="3" s="1"/>
  <c r="C178" i="3" a="1"/>
  <c r="C178" i="3" s="1"/>
  <c r="C171" i="3" a="1"/>
  <c r="C171" i="3" s="1"/>
  <c r="C170" i="3" a="1"/>
  <c r="C170" i="3" s="1"/>
  <c r="C156" i="3" a="1"/>
  <c r="C156" i="3" s="1"/>
  <c r="C163" i="3" a="1"/>
  <c r="C163" i="3" s="1"/>
  <c r="C160" i="3" a="1"/>
  <c r="C160" i="3" s="1"/>
  <c r="C176" i="3" a="1"/>
  <c r="C176" i="3" s="1"/>
  <c r="C169" i="3" a="1"/>
  <c r="C169" i="3" s="1"/>
  <c r="C172" i="3" a="1"/>
  <c r="C172" i="3" s="1"/>
  <c r="C162" i="3" a="1"/>
  <c r="C162" i="3" s="1"/>
  <c r="C164" i="3" a="1"/>
  <c r="C164" i="3" s="1"/>
  <c r="C179" i="3" a="1"/>
  <c r="C179" i="3" s="1"/>
  <c r="C161" i="3" a="1"/>
  <c r="C161" i="3" s="1"/>
  <c r="C167" i="3" a="1"/>
  <c r="C167" i="3" s="1"/>
  <c r="A10" i="14"/>
  <c r="A9" i="14" s="1"/>
  <c r="F156" i="3" a="1"/>
  <c r="H22" i="7" l="1"/>
  <c r="AF22" i="7" s="1" a="1"/>
  <c r="AF22" i="7" s="1"/>
  <c r="AE22" i="7" a="1"/>
  <c r="AE22" i="7" s="1"/>
  <c r="H28" i="7"/>
  <c r="AF28" i="7" s="1" a="1"/>
  <c r="AF28" i="7" s="1"/>
  <c r="AE28" i="7" a="1"/>
  <c r="AE28" i="7" s="1"/>
  <c r="H29" i="7"/>
  <c r="AF29" i="7" s="1" a="1"/>
  <c r="AF29" i="7" s="1"/>
  <c r="AE29" i="7" a="1"/>
  <c r="AE29" i="7" s="1"/>
  <c r="H23" i="7"/>
  <c r="AF23" i="7" s="1" a="1"/>
  <c r="AF23" i="7" s="1"/>
  <c r="AE23" i="7" a="1"/>
  <c r="AE23" i="7" s="1"/>
  <c r="M22" i="7"/>
  <c r="AD22" i="7" a="1"/>
  <c r="AD22" i="7" s="1"/>
  <c r="M24" i="7"/>
  <c r="AD24" i="7" a="1"/>
  <c r="AD24" i="7" s="1"/>
  <c r="H21" i="7"/>
  <c r="AF21" i="7" s="1" a="1"/>
  <c r="AF21" i="7" s="1"/>
  <c r="AE21" i="7" a="1"/>
  <c r="AE21" i="7" s="1"/>
  <c r="M20" i="7"/>
  <c r="AD20" i="7" a="1"/>
  <c r="AD20" i="7" s="1"/>
  <c r="M19" i="7"/>
  <c r="AD19" i="7" a="1"/>
  <c r="AD19" i="7" s="1"/>
  <c r="F156" i="3"/>
  <c r="K24" i="6"/>
  <c r="K26" i="6" s="1"/>
  <c r="O27" i="6" s="1"/>
  <c r="M29" i="7"/>
  <c r="M21" i="7"/>
  <c r="H20" i="7"/>
  <c r="AF20" i="7" s="1" a="1"/>
  <c r="AF20" i="7" s="1"/>
  <c r="H25" i="7"/>
  <c r="AF25" i="7" s="1" a="1"/>
  <c r="AF25" i="7" s="1"/>
  <c r="M25" i="7"/>
  <c r="M27" i="7"/>
  <c r="H27" i="7"/>
  <c r="AF27" i="7" s="1" a="1"/>
  <c r="AF27" i="7" s="1"/>
  <c r="M23" i="7"/>
  <c r="H19" i="7"/>
  <c r="AF19" i="7" s="1" a="1"/>
  <c r="AF19" i="7" s="1"/>
  <c r="H30" i="7"/>
  <c r="AF30" i="7" s="1" a="1"/>
  <c r="AF30" i="7" s="1"/>
  <c r="M26" i="7"/>
  <c r="H24" i="7"/>
  <c r="AF24" i="7" s="1" a="1"/>
  <c r="AF24" i="7" s="1"/>
  <c r="M28" i="7"/>
  <c r="H26" i="7"/>
  <c r="AF26" i="7" s="1" a="1"/>
  <c r="AF26" i="7" s="1"/>
  <c r="M30" i="7"/>
  <c r="C41" i="1"/>
  <c r="A12" i="14"/>
  <c r="A11" i="14" s="1"/>
  <c r="B9" i="14"/>
  <c r="B10" i="14"/>
  <c r="H28" i="6" l="1"/>
  <c r="A14" i="14"/>
  <c r="A16" i="14" s="1"/>
  <c r="B11" i="14"/>
  <c r="B12" i="14"/>
  <c r="A13" i="14" l="1"/>
  <c r="B13" i="14" s="1"/>
  <c r="A15" i="14"/>
  <c r="A18" i="14"/>
  <c r="B14" i="14" l="1"/>
  <c r="A17" i="14"/>
  <c r="A20" i="14"/>
  <c r="B16" i="14"/>
  <c r="B15" i="14"/>
  <c r="A19" i="14" l="1"/>
  <c r="A22" i="14"/>
  <c r="B18" i="14"/>
  <c r="B17" i="14"/>
  <c r="A24" i="14" l="1"/>
  <c r="A21" i="14"/>
  <c r="B20" i="14"/>
  <c r="B19" i="14"/>
  <c r="A23" i="14" l="1"/>
  <c r="A26" i="14"/>
  <c r="B22" i="14"/>
  <c r="B21" i="14"/>
  <c r="A28" i="14" l="1"/>
  <c r="A25" i="14"/>
  <c r="B23" i="14"/>
  <c r="B24" i="14"/>
  <c r="A27" i="14" l="1"/>
  <c r="A30" i="14"/>
  <c r="B26" i="14"/>
  <c r="B25" i="14"/>
  <c r="B27" i="14" l="1"/>
  <c r="B28" i="14"/>
  <c r="A32" i="14"/>
  <c r="A29" i="14"/>
  <c r="B29" i="14" l="1"/>
  <c r="B30" i="14"/>
  <c r="A31" i="14"/>
  <c r="A34" i="14"/>
  <c r="B31" i="14" l="1"/>
  <c r="B32" i="14"/>
  <c r="A36" i="14"/>
  <c r="A33" i="14"/>
  <c r="B34" i="14" l="1"/>
  <c r="B33" i="14"/>
  <c r="A35" i="14"/>
  <c r="A38" i="14"/>
  <c r="B35" i="14" l="1"/>
  <c r="B36" i="14"/>
  <c r="A40" i="14"/>
  <c r="A37" i="14"/>
  <c r="B38" i="14" l="1"/>
  <c r="B37" i="14"/>
  <c r="A39" i="14"/>
  <c r="A42" i="14"/>
  <c r="A44" i="14" l="1"/>
  <c r="A41" i="14"/>
  <c r="B40" i="14"/>
  <c r="B39" i="14"/>
  <c r="B41" i="14" l="1"/>
  <c r="B42" i="14"/>
  <c r="A43" i="14"/>
  <c r="A46" i="14"/>
  <c r="A45" i="14" l="1"/>
  <c r="A48" i="14"/>
  <c r="B44" i="14"/>
  <c r="B43" i="14"/>
  <c r="A50" i="14" l="1"/>
  <c r="A47" i="14"/>
  <c r="B46" i="14"/>
  <c r="B45" i="14"/>
  <c r="B47" i="14" l="1"/>
  <c r="B48" i="14"/>
  <c r="W51" i="7" l="1"/>
  <c r="V51" i="7"/>
  <c r="U51" i="7"/>
  <c r="S51" i="7" l="1"/>
  <c r="AI51" i="7" l="1" a="1"/>
  <c r="AI51" i="7" s="1"/>
  <c r="Z51" i="7" a="1"/>
  <c r="Z51" i="7" s="1"/>
  <c r="AJ51" i="7" a="1"/>
  <c r="AJ51" i="7" s="1"/>
  <c r="AC51" i="7" a="1"/>
  <c r="AC51" i="7" s="1"/>
  <c r="AB51" i="7" a="1"/>
  <c r="AB51" i="7" s="1"/>
  <c r="AA51" i="7" a="1"/>
  <c r="AA51" i="7" s="1"/>
  <c r="AD51" i="7" a="1"/>
  <c r="AD51" i="7" s="1"/>
  <c r="AH51" i="7" a="1"/>
  <c r="AH51" i="7" s="1"/>
  <c r="AG51" i="7" a="1"/>
  <c r="AG51" i="7" s="1"/>
  <c r="AF51" i="7" a="1"/>
  <c r="AF51" i="7" s="1"/>
  <c r="AE51" i="7" a="1"/>
  <c r="AE51" i="7"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<sst xmlns="http://schemas.openxmlformats.org/spreadsheetml/2006/main" count="2022" uniqueCount="648">
  <si>
    <t>基本情報</t>
    <rPh sb="0" eb="2">
      <t>キホン</t>
    </rPh>
    <rPh sb="2" eb="4">
      <t>ジョウホウ</t>
    </rPh>
    <phoneticPr fontId="14"/>
  </si>
  <si>
    <t>受付番号</t>
    <rPh sb="0" eb="2">
      <t>ウケツケ</t>
    </rPh>
    <rPh sb="2" eb="4">
      <t>バンゴウ</t>
    </rPh>
    <phoneticPr fontId="14"/>
  </si>
  <si>
    <t>所属</t>
    <rPh sb="0" eb="2">
      <t>ショゾク</t>
    </rPh>
    <phoneticPr fontId="14"/>
  </si>
  <si>
    <t>役職</t>
    <rPh sb="0" eb="2">
      <t>ヤクショク</t>
    </rPh>
    <phoneticPr fontId="14"/>
  </si>
  <si>
    <t>氏名</t>
    <rPh sb="0" eb="2">
      <t>シメイ</t>
    </rPh>
    <phoneticPr fontId="14"/>
  </si>
  <si>
    <t>郵便番号</t>
    <rPh sb="0" eb="2">
      <t>ユウビン</t>
    </rPh>
    <rPh sb="2" eb="4">
      <t>バンゴウ</t>
    </rPh>
    <phoneticPr fontId="14"/>
  </si>
  <si>
    <t>住所</t>
    <rPh sb="0" eb="2">
      <t>ジュウショ</t>
    </rPh>
    <phoneticPr fontId="14"/>
  </si>
  <si>
    <t>電話</t>
    <rPh sb="0" eb="2">
      <t>デンワ</t>
    </rPh>
    <phoneticPr fontId="14"/>
  </si>
  <si>
    <t>国名・地域名</t>
    <rPh sb="0" eb="1">
      <t>クニ</t>
    </rPh>
    <rPh sb="1" eb="2">
      <t>メイ</t>
    </rPh>
    <rPh sb="3" eb="6">
      <t>チイキメイ</t>
    </rPh>
    <phoneticPr fontId="14"/>
  </si>
  <si>
    <t>機関名</t>
    <rPh sb="0" eb="3">
      <t>キカンメイ</t>
    </rPh>
    <phoneticPr fontId="14"/>
  </si>
  <si>
    <t>日本語</t>
    <rPh sb="0" eb="3">
      <t>ニホンゴ</t>
    </rPh>
    <phoneticPr fontId="14"/>
  </si>
  <si>
    <t>英語</t>
    <rPh sb="0" eb="2">
      <t>エイゴ</t>
    </rPh>
    <phoneticPr fontId="14"/>
  </si>
  <si>
    <t>高校生</t>
    <rPh sb="0" eb="3">
      <t>コウコウセイ</t>
    </rPh>
    <phoneticPr fontId="14"/>
  </si>
  <si>
    <t>大学生</t>
    <rPh sb="0" eb="3">
      <t>ダイガクセイ</t>
    </rPh>
    <phoneticPr fontId="14"/>
  </si>
  <si>
    <t>大学院生</t>
    <rPh sb="0" eb="4">
      <t>ダイガクインセイ</t>
    </rPh>
    <phoneticPr fontId="14"/>
  </si>
  <si>
    <t>ポスドク</t>
    <phoneticPr fontId="14"/>
  </si>
  <si>
    <t>教員</t>
    <rPh sb="0" eb="2">
      <t>キョウイン</t>
    </rPh>
    <phoneticPr fontId="14"/>
  </si>
  <si>
    <t>研究者</t>
    <rPh sb="0" eb="3">
      <t>ケンキュウシャ</t>
    </rPh>
    <phoneticPr fontId="14"/>
  </si>
  <si>
    <t>その他</t>
    <rPh sb="2" eb="3">
      <t>タ</t>
    </rPh>
    <phoneticPr fontId="14"/>
  </si>
  <si>
    <t>合計</t>
    <rPh sb="0" eb="2">
      <t>ゴウケイ</t>
    </rPh>
    <phoneticPr fontId="14"/>
  </si>
  <si>
    <t>マレーシア</t>
  </si>
  <si>
    <t>ソロモン諸島</t>
  </si>
  <si>
    <t>トルクメニスタン</t>
  </si>
  <si>
    <t>※選択してください</t>
    <rPh sb="1" eb="3">
      <t>センタク</t>
    </rPh>
    <phoneticPr fontId="22"/>
  </si>
  <si>
    <t>３）招へい者</t>
    <rPh sb="2" eb="3">
      <t>ショウ</t>
    </rPh>
    <rPh sb="5" eb="6">
      <t>シャ</t>
    </rPh>
    <phoneticPr fontId="14"/>
  </si>
  <si>
    <t>宿泊先</t>
    <rPh sb="0" eb="2">
      <t>シュクハク</t>
    </rPh>
    <rPh sb="2" eb="3">
      <t>サキ</t>
    </rPh>
    <phoneticPr fontId="14"/>
  </si>
  <si>
    <t>種別</t>
    <rPh sb="0" eb="2">
      <t>シュベツ</t>
    </rPh>
    <phoneticPr fontId="14"/>
  </si>
  <si>
    <t>単価</t>
    <rPh sb="0" eb="2">
      <t>タンカ</t>
    </rPh>
    <phoneticPr fontId="14"/>
  </si>
  <si>
    <t>数量</t>
    <rPh sb="0" eb="2">
      <t>スウリョウ</t>
    </rPh>
    <phoneticPr fontId="14"/>
  </si>
  <si>
    <t>単位</t>
    <rPh sb="0" eb="2">
      <t>タンイ</t>
    </rPh>
    <phoneticPr fontId="14"/>
  </si>
  <si>
    <t>予算総額</t>
    <rPh sb="0" eb="2">
      <t>ヨサン</t>
    </rPh>
    <rPh sb="2" eb="4">
      <t>ソウガク</t>
    </rPh>
    <phoneticPr fontId="14"/>
  </si>
  <si>
    <t>国際航空券費</t>
    <phoneticPr fontId="14"/>
  </si>
  <si>
    <t>国外滞在費（宿泊費・食費）</t>
    <phoneticPr fontId="14"/>
  </si>
  <si>
    <t>査証手数料</t>
    <phoneticPr fontId="14"/>
  </si>
  <si>
    <t>人</t>
    <rPh sb="0" eb="1">
      <t>ヒト</t>
    </rPh>
    <phoneticPr fontId="14"/>
  </si>
  <si>
    <t>人×泊</t>
    <rPh sb="0" eb="1">
      <t>ヒト</t>
    </rPh>
    <rPh sb="2" eb="3">
      <t>ハク</t>
    </rPh>
    <phoneticPr fontId="14"/>
  </si>
  <si>
    <t>JST支援金</t>
    <rPh sb="3" eb="6">
      <t>シエンキン</t>
    </rPh>
    <phoneticPr fontId="14"/>
  </si>
  <si>
    <t>分担金</t>
    <rPh sb="0" eb="3">
      <t>ブンタンキン</t>
    </rPh>
    <phoneticPr fontId="14"/>
  </si>
  <si>
    <t>直接経費</t>
    <rPh sb="0" eb="2">
      <t>チョクセツ</t>
    </rPh>
    <rPh sb="2" eb="4">
      <t>ケイヒ</t>
    </rPh>
    <phoneticPr fontId="14"/>
  </si>
  <si>
    <t>国内旅費</t>
    <rPh sb="0" eb="2">
      <t>コクナイ</t>
    </rPh>
    <rPh sb="2" eb="4">
      <t>リョヒ</t>
    </rPh>
    <phoneticPr fontId="14"/>
  </si>
  <si>
    <t>謝金</t>
    <rPh sb="0" eb="2">
      <t>シャキン</t>
    </rPh>
    <phoneticPr fontId="14"/>
  </si>
  <si>
    <t>通訳者</t>
    <rPh sb="0" eb="3">
      <t>ツウヤクシャ</t>
    </rPh>
    <phoneticPr fontId="14"/>
  </si>
  <si>
    <t>講師・講演者</t>
    <rPh sb="0" eb="2">
      <t>コウシ</t>
    </rPh>
    <rPh sb="3" eb="6">
      <t>コウエンシャ</t>
    </rPh>
    <phoneticPr fontId="14"/>
  </si>
  <si>
    <t>ホームステイ謝金</t>
    <rPh sb="6" eb="8">
      <t>シャキン</t>
    </rPh>
    <phoneticPr fontId="14"/>
  </si>
  <si>
    <t>JST支援金（直接経費）計</t>
    <rPh sb="3" eb="6">
      <t>シエンキン</t>
    </rPh>
    <rPh sb="7" eb="9">
      <t>チョクセツ</t>
    </rPh>
    <rPh sb="9" eb="11">
      <t>ケイヒ</t>
    </rPh>
    <rPh sb="12" eb="13">
      <t>ケイ</t>
    </rPh>
    <phoneticPr fontId="14"/>
  </si>
  <si>
    <t>総計</t>
    <rPh sb="0" eb="2">
      <t>ソウケイ</t>
    </rPh>
    <phoneticPr fontId="14"/>
  </si>
  <si>
    <t>人×日</t>
    <rPh sb="0" eb="1">
      <t>ニン</t>
    </rPh>
    <rPh sb="2" eb="3">
      <t>ニチ</t>
    </rPh>
    <phoneticPr fontId="30"/>
  </si>
  <si>
    <t>人</t>
    <rPh sb="0" eb="1">
      <t>ニン</t>
    </rPh>
    <phoneticPr fontId="30"/>
  </si>
  <si>
    <t>人×時間</t>
    <rPh sb="0" eb="1">
      <t>ニン</t>
    </rPh>
    <rPh sb="2" eb="4">
      <t>ジカン</t>
    </rPh>
    <phoneticPr fontId="30"/>
  </si>
  <si>
    <t>人</t>
    <rPh sb="0" eb="1">
      <t>ニン</t>
    </rPh>
    <phoneticPr fontId="14"/>
  </si>
  <si>
    <t>見学料</t>
    <rPh sb="0" eb="3">
      <t>ケンガクリョウ</t>
    </rPh>
    <phoneticPr fontId="14"/>
  </si>
  <si>
    <t>枝番</t>
    <rPh sb="0" eb="2">
      <t>エダバン</t>
    </rPh>
    <phoneticPr fontId="14"/>
  </si>
  <si>
    <t>国籍</t>
    <rPh sb="0" eb="2">
      <t>コクセキ</t>
    </rPh>
    <phoneticPr fontId="14"/>
  </si>
  <si>
    <t>属性</t>
    <rPh sb="0" eb="2">
      <t>ゾクセイ</t>
    </rPh>
    <phoneticPr fontId="14"/>
  </si>
  <si>
    <t>氏　名</t>
    <rPh sb="0" eb="1">
      <t>シ</t>
    </rPh>
    <rPh sb="2" eb="3">
      <t>ナ</t>
    </rPh>
    <phoneticPr fontId="14"/>
  </si>
  <si>
    <t>TA・学生アルバイト</t>
    <rPh sb="3" eb="5">
      <t>ガクセイ</t>
    </rPh>
    <phoneticPr fontId="14"/>
  </si>
  <si>
    <t>費目</t>
    <rPh sb="0" eb="2">
      <t>ヒモク</t>
    </rPh>
    <phoneticPr fontId="14"/>
  </si>
  <si>
    <t>単価</t>
    <rPh sb="0" eb="2">
      <t>タンカ</t>
    </rPh>
    <phoneticPr fontId="14"/>
  </si>
  <si>
    <t>数量</t>
    <rPh sb="0" eb="2">
      <t>スウリョウ</t>
    </rPh>
    <phoneticPr fontId="14"/>
  </si>
  <si>
    <t>単位</t>
    <rPh sb="0" eb="2">
      <t>タンイ</t>
    </rPh>
    <phoneticPr fontId="14"/>
  </si>
  <si>
    <t>予算総額</t>
    <rPh sb="0" eb="2">
      <t>ヨサン</t>
    </rPh>
    <rPh sb="2" eb="4">
      <t>ソウガク</t>
    </rPh>
    <phoneticPr fontId="14"/>
  </si>
  <si>
    <r>
      <t>人×</t>
    </r>
    <r>
      <rPr>
        <sz val="8"/>
        <rFont val="Meiryo UI"/>
        <family val="3"/>
        <charset val="128"/>
      </rPr>
      <t>泊</t>
    </r>
    <rPh sb="0" eb="1">
      <t>ニン</t>
    </rPh>
    <rPh sb="2" eb="3">
      <t>ハク</t>
    </rPh>
    <phoneticPr fontId="30"/>
  </si>
  <si>
    <t>JST支援金
各費目合計</t>
    <rPh sb="3" eb="6">
      <t>シエンキン</t>
    </rPh>
    <rPh sb="7" eb="8">
      <t>カク</t>
    </rPh>
    <rPh sb="8" eb="10">
      <t>ヒモク</t>
    </rPh>
    <rPh sb="10" eb="12">
      <t>ゴウケイ</t>
    </rPh>
    <phoneticPr fontId="14"/>
  </si>
  <si>
    <t>(日本語)</t>
    <rPh sb="1" eb="4">
      <t>ニホンゴ</t>
    </rPh>
    <phoneticPr fontId="14"/>
  </si>
  <si>
    <t>日本出国日</t>
    <rPh sb="0" eb="2">
      <t>ニホン</t>
    </rPh>
    <rPh sb="2" eb="4">
      <t>シュッコク</t>
    </rPh>
    <rPh sb="4" eb="5">
      <t>ビ</t>
    </rPh>
    <phoneticPr fontId="14"/>
  </si>
  <si>
    <t>※注意事項</t>
    <rPh sb="1" eb="3">
      <t>チュウイ</t>
    </rPh>
    <rPh sb="3" eb="5">
      <t>ジコウ</t>
    </rPh>
    <phoneticPr fontId="14"/>
  </si>
  <si>
    <t>（国別渡航費内訳）</t>
    <rPh sb="1" eb="3">
      <t>クニベツ</t>
    </rPh>
    <rPh sb="3" eb="6">
      <t>トコウヒ</t>
    </rPh>
    <rPh sb="6" eb="8">
      <t>ウチワケ</t>
    </rPh>
    <phoneticPr fontId="14"/>
  </si>
  <si>
    <t>国別渡航費</t>
    <rPh sb="0" eb="2">
      <t>クニベツ</t>
    </rPh>
    <rPh sb="2" eb="5">
      <t>トコウヒ</t>
    </rPh>
    <phoneticPr fontId="14"/>
  </si>
  <si>
    <r>
      <t>送出し機関名</t>
    </r>
    <r>
      <rPr>
        <sz val="7.5"/>
        <color theme="1"/>
        <rFont val="Meiryo UI"/>
        <family val="3"/>
        <charset val="128"/>
      </rPr>
      <t xml:space="preserve">
（日本語）</t>
    </r>
    <rPh sb="0" eb="1">
      <t>オク</t>
    </rPh>
    <rPh sb="1" eb="2">
      <t>ダ</t>
    </rPh>
    <rPh sb="3" eb="6">
      <t>キカンメイ</t>
    </rPh>
    <rPh sb="8" eb="11">
      <t>ニホンゴ</t>
    </rPh>
    <phoneticPr fontId="14"/>
  </si>
  <si>
    <t>変更理由</t>
    <rPh sb="0" eb="2">
      <t>ヘンコウ</t>
    </rPh>
    <rPh sb="2" eb="4">
      <t>リユウ</t>
    </rPh>
    <phoneticPr fontId="14"/>
  </si>
  <si>
    <t>受入れ機関名（日本語）</t>
    <rPh sb="0" eb="2">
      <t>ウケイレ</t>
    </rPh>
    <rPh sb="3" eb="5">
      <t>キカン</t>
    </rPh>
    <rPh sb="5" eb="6">
      <t>メイ</t>
    </rPh>
    <rPh sb="7" eb="10">
      <t>ニホンゴ</t>
    </rPh>
    <phoneticPr fontId="14"/>
  </si>
  <si>
    <t>宿泊費</t>
    <phoneticPr fontId="14"/>
  </si>
  <si>
    <t>国内日当(食費)</t>
    <phoneticPr fontId="14"/>
  </si>
  <si>
    <t>変更内容</t>
    <rPh sb="0" eb="2">
      <t>ヘンコウ</t>
    </rPh>
    <rPh sb="2" eb="4">
      <t>ナイヨウ</t>
    </rPh>
    <phoneticPr fontId="14"/>
  </si>
  <si>
    <t>申請年月日</t>
    <rPh sb="0" eb="2">
      <t>シンセイ</t>
    </rPh>
    <rPh sb="2" eb="5">
      <t>ネンガッピ</t>
    </rPh>
    <phoneticPr fontId="14"/>
  </si>
  <si>
    <t>変更が業務計画に及ぼす
影響および効果</t>
    <rPh sb="0" eb="2">
      <t>ヘンコウ</t>
    </rPh>
    <rPh sb="3" eb="5">
      <t>ギョウム</t>
    </rPh>
    <rPh sb="5" eb="7">
      <t>ケイカク</t>
    </rPh>
    <rPh sb="8" eb="9">
      <t>オヨ</t>
    </rPh>
    <rPh sb="12" eb="14">
      <t>エイキョウ</t>
    </rPh>
    <rPh sb="17" eb="19">
      <t>コウカ</t>
    </rPh>
    <phoneticPr fontId="14"/>
  </si>
  <si>
    <t>実施場所</t>
    <rPh sb="0" eb="2">
      <t>ジッシ</t>
    </rPh>
    <rPh sb="2" eb="4">
      <t>バショ</t>
    </rPh>
    <phoneticPr fontId="14"/>
  </si>
  <si>
    <t>受入れの準備状況、体制</t>
    <phoneticPr fontId="14"/>
  </si>
  <si>
    <t>送出し機関名</t>
    <rPh sb="0" eb="2">
      <t>オクリダ</t>
    </rPh>
    <rPh sb="3" eb="5">
      <t>キカン</t>
    </rPh>
    <rPh sb="5" eb="6">
      <t>メイ</t>
    </rPh>
    <phoneticPr fontId="14"/>
  </si>
  <si>
    <t>＜変更内容種別一覧＞</t>
    <rPh sb="1" eb="3">
      <t>ヘンコウ</t>
    </rPh>
    <rPh sb="3" eb="5">
      <t>ナイヨウ</t>
    </rPh>
    <rPh sb="5" eb="7">
      <t>シュベツ</t>
    </rPh>
    <rPh sb="7" eb="9">
      <t>イチラン</t>
    </rPh>
    <phoneticPr fontId="14"/>
  </si>
  <si>
    <t>＜国名＞</t>
    <rPh sb="1" eb="2">
      <t>クニ</t>
    </rPh>
    <rPh sb="2" eb="3">
      <t>メイ</t>
    </rPh>
    <phoneticPr fontId="14"/>
  </si>
  <si>
    <t xml:space="preserve">
</t>
    <phoneticPr fontId="14"/>
  </si>
  <si>
    <r>
      <t xml:space="preserve">使途など
</t>
    </r>
    <r>
      <rPr>
        <sz val="7.5"/>
        <color theme="1"/>
        <rFont val="Meiryo UI"/>
        <family val="3"/>
        <charset val="128"/>
      </rPr>
      <t>＊金額内訳は本欄には記入しない</t>
    </r>
    <phoneticPr fontId="14"/>
  </si>
  <si>
    <r>
      <t xml:space="preserve">使途など
</t>
    </r>
    <r>
      <rPr>
        <sz val="8"/>
        <color theme="1"/>
        <rFont val="Meiryo UI"/>
        <family val="3"/>
        <charset val="128"/>
      </rPr>
      <t>＊金額内訳は本欄には記入しない</t>
    </r>
    <rPh sb="0" eb="2">
      <t>シト</t>
    </rPh>
    <phoneticPr fontId="14"/>
  </si>
  <si>
    <t xml:space="preserve">
</t>
    <phoneticPr fontId="14"/>
  </si>
  <si>
    <t xml:space="preserve">渡航費を除く直接経費: </t>
    <rPh sb="9" eb="10">
      <t>ヒ</t>
    </rPh>
    <phoneticPr fontId="14"/>
  </si>
  <si>
    <t>備考</t>
    <rPh sb="0" eb="2">
      <t>ビコウ</t>
    </rPh>
    <phoneticPr fontId="14"/>
  </si>
  <si>
    <t>引率者</t>
    <phoneticPr fontId="14"/>
  </si>
  <si>
    <t>来日時
の年齢</t>
    <phoneticPr fontId="14"/>
  </si>
  <si>
    <t>送出し国</t>
    <rPh sb="0" eb="2">
      <t>オクリダ</t>
    </rPh>
    <rPh sb="3" eb="4">
      <t>コク</t>
    </rPh>
    <phoneticPr fontId="14"/>
  </si>
  <si>
    <r>
      <rPr>
        <sz val="10"/>
        <color rgb="FFFF0000"/>
        <rFont val="Meiryo UI"/>
        <family val="3"/>
        <charset val="128"/>
      </rPr>
      <t>【必須】</t>
    </r>
    <r>
      <rPr>
        <sz val="10"/>
        <color theme="1"/>
        <rFont val="Meiryo UI"/>
        <family val="2"/>
        <charset val="128"/>
      </rPr>
      <t xml:space="preserve">事務担当者
</t>
    </r>
    <r>
      <rPr>
        <sz val="7.5"/>
        <color theme="1"/>
        <rFont val="Meiryo UI"/>
        <family val="3"/>
        <charset val="128"/>
      </rPr>
      <t xml:space="preserve">（事務手続きを行う窓口担当者）
</t>
    </r>
    <r>
      <rPr>
        <sz val="7.5"/>
        <color rgb="FFFF0000"/>
        <rFont val="Meiryo UI"/>
        <family val="3"/>
        <charset val="128"/>
      </rPr>
      <t>※連絡担当者と同一の場合も記入</t>
    </r>
    <rPh sb="1" eb="3">
      <t>ヒッス</t>
    </rPh>
    <rPh sb="4" eb="6">
      <t>ジム</t>
    </rPh>
    <rPh sb="6" eb="9">
      <t>タントウシャ</t>
    </rPh>
    <rPh sb="11" eb="13">
      <t>ジム</t>
    </rPh>
    <rPh sb="13" eb="15">
      <t>テツヅ</t>
    </rPh>
    <rPh sb="17" eb="18">
      <t>オコナ</t>
    </rPh>
    <rPh sb="19" eb="21">
      <t>マドグチ</t>
    </rPh>
    <rPh sb="21" eb="24">
      <t>タントウシャ</t>
    </rPh>
    <rPh sb="27" eb="29">
      <t>レンラク</t>
    </rPh>
    <rPh sb="29" eb="32">
      <t>タントウシャ</t>
    </rPh>
    <rPh sb="33" eb="35">
      <t>ドウイツ</t>
    </rPh>
    <rPh sb="36" eb="38">
      <t>バアイ</t>
    </rPh>
    <rPh sb="39" eb="41">
      <t>キニュウ</t>
    </rPh>
    <phoneticPr fontId="14"/>
  </si>
  <si>
    <t>人数</t>
    <rPh sb="0" eb="2">
      <t>ニンズウ</t>
    </rPh>
    <phoneticPr fontId="14"/>
  </si>
  <si>
    <t>表示</t>
    <rPh sb="0" eb="2">
      <t>ヒョウジ</t>
    </rPh>
    <phoneticPr fontId="14"/>
  </si>
  <si>
    <t>４）受入れ体制</t>
    <rPh sb="2" eb="4">
      <t>ウケイレ</t>
    </rPh>
    <rPh sb="5" eb="7">
      <t>タイセイ</t>
    </rPh>
    <phoneticPr fontId="14"/>
  </si>
  <si>
    <t>受入れ総人数:</t>
    <rPh sb="0" eb="2">
      <t>ウケイレ</t>
    </rPh>
    <rPh sb="3" eb="6">
      <t>ソウニンズウ</t>
    </rPh>
    <phoneticPr fontId="14"/>
  </si>
  <si>
    <t>受入れ総日数:</t>
    <phoneticPr fontId="14"/>
  </si>
  <si>
    <t>E-mail</t>
    <phoneticPr fontId="14"/>
  </si>
  <si>
    <t>※選択してください</t>
    <phoneticPr fontId="14"/>
  </si>
  <si>
    <t>科学技術全般</t>
    <phoneticPr fontId="14"/>
  </si>
  <si>
    <t>交流計画のテーマ</t>
    <phoneticPr fontId="14"/>
  </si>
  <si>
    <r>
      <t>＊</t>
    </r>
    <r>
      <rPr>
        <sz val="9"/>
        <color rgb="FFFF0000"/>
        <rFont val="Meiryo UI"/>
        <family val="3"/>
        <charset val="128"/>
      </rPr>
      <t>エコノミークラス</t>
    </r>
    <r>
      <rPr>
        <sz val="9"/>
        <rFont val="Meiryo UI"/>
        <family val="3"/>
        <charset val="128"/>
      </rPr>
      <t>に限る</t>
    </r>
    <phoneticPr fontId="14"/>
  </si>
  <si>
    <t>一式</t>
    <rPh sb="1" eb="2">
      <t>シキ</t>
    </rPh>
    <phoneticPr fontId="30"/>
  </si>
  <si>
    <t>-</t>
    <phoneticPr fontId="14"/>
  </si>
  <si>
    <t>(連絡担当者　役職名)</t>
    <rPh sb="1" eb="3">
      <t>レンラク</t>
    </rPh>
    <rPh sb="3" eb="6">
      <t>タントウシャ</t>
    </rPh>
    <rPh sb="7" eb="9">
      <t>ヤクショク</t>
    </rPh>
    <rPh sb="9" eb="10">
      <t>メイ</t>
    </rPh>
    <phoneticPr fontId="14"/>
  </si>
  <si>
    <t>(連絡担当者　氏名)</t>
    <rPh sb="1" eb="3">
      <t>レンラク</t>
    </rPh>
    <rPh sb="3" eb="6">
      <t>タントウシャ</t>
    </rPh>
    <rPh sb="7" eb="9">
      <t>シメイ</t>
    </rPh>
    <phoneticPr fontId="14"/>
  </si>
  <si>
    <t>(事務担当者　役職名)</t>
    <rPh sb="1" eb="3">
      <t>ジム</t>
    </rPh>
    <rPh sb="3" eb="6">
      <t>タントウシャ</t>
    </rPh>
    <rPh sb="7" eb="9">
      <t>ヤクショク</t>
    </rPh>
    <rPh sb="9" eb="10">
      <t>メイ</t>
    </rPh>
    <phoneticPr fontId="14"/>
  </si>
  <si>
    <t>(事務担当者　氏名)</t>
    <rPh sb="1" eb="3">
      <t>ジム</t>
    </rPh>
    <rPh sb="3" eb="6">
      <t>タントウシャ</t>
    </rPh>
    <rPh sb="7" eb="9">
      <t>シメイ</t>
    </rPh>
    <phoneticPr fontId="14"/>
  </si>
  <si>
    <t>(実施責任者　氏名)</t>
    <rPh sb="1" eb="3">
      <t>ジッシ</t>
    </rPh>
    <rPh sb="3" eb="6">
      <t>セキニンシャ</t>
    </rPh>
    <rPh sb="7" eb="9">
      <t>シメイ</t>
    </rPh>
    <phoneticPr fontId="14"/>
  </si>
  <si>
    <t>送出し国/地域・人数</t>
    <phoneticPr fontId="14"/>
  </si>
  <si>
    <t>(半角数字)</t>
    <rPh sb="1" eb="3">
      <t>ハンカク</t>
    </rPh>
    <rPh sb="3" eb="5">
      <t>スウジ</t>
    </rPh>
    <phoneticPr fontId="14"/>
  </si>
  <si>
    <t>(半角英数字)</t>
    <rPh sb="1" eb="3">
      <t>ハンカク</t>
    </rPh>
    <rPh sb="3" eb="6">
      <t>エイスウジ</t>
    </rPh>
    <phoneticPr fontId="14"/>
  </si>
  <si>
    <t>(市区町村以下)</t>
    <phoneticPr fontId="14"/>
  </si>
  <si>
    <t>(契約する法人格を有する機関名)</t>
    <phoneticPr fontId="14"/>
  </si>
  <si>
    <t>内訳</t>
    <rPh sb="0" eb="2">
      <t>ウチワケ</t>
    </rPh>
    <phoneticPr fontId="14"/>
  </si>
  <si>
    <t>合計</t>
    <rPh sb="0" eb="2">
      <t>ゴウケイ</t>
    </rPh>
    <phoneticPr fontId="14"/>
  </si>
  <si>
    <r>
      <rPr>
        <sz val="10"/>
        <color rgb="FFFF0000"/>
        <rFont val="Meiryo UI"/>
        <family val="3"/>
        <charset val="128"/>
      </rPr>
      <t>【必須】</t>
    </r>
    <r>
      <rPr>
        <sz val="10"/>
        <rFont val="Meiryo UI"/>
        <family val="3"/>
        <charset val="128"/>
      </rPr>
      <t>コース名</t>
    </r>
    <rPh sb="1" eb="3">
      <t>ヒッス</t>
    </rPh>
    <phoneticPr fontId="14"/>
  </si>
  <si>
    <r>
      <rPr>
        <sz val="10"/>
        <color rgb="FFFF0000"/>
        <rFont val="Meiryo UI"/>
        <family val="3"/>
        <charset val="128"/>
      </rPr>
      <t>【必須】</t>
    </r>
    <r>
      <rPr>
        <sz val="10"/>
        <rFont val="Meiryo UI"/>
        <family val="3"/>
        <charset val="128"/>
      </rPr>
      <t>交流計画のテーマ</t>
    </r>
    <rPh sb="1" eb="3">
      <t>ヒッス</t>
    </rPh>
    <rPh sb="4" eb="6">
      <t>コウリュウ</t>
    </rPh>
    <rPh sb="6" eb="8">
      <t>ケイカク</t>
    </rPh>
    <phoneticPr fontId="14"/>
  </si>
  <si>
    <r>
      <rPr>
        <sz val="10"/>
        <color rgb="FFFF0000"/>
        <rFont val="Meiryo UI"/>
        <family val="3"/>
        <charset val="128"/>
      </rPr>
      <t>【必須】</t>
    </r>
    <r>
      <rPr>
        <sz val="10"/>
        <color theme="1"/>
        <rFont val="Meiryo UI"/>
        <family val="3"/>
        <charset val="128"/>
      </rPr>
      <t xml:space="preserve">契約法人情報
</t>
    </r>
    <r>
      <rPr>
        <sz val="7.5"/>
        <color rgb="FFFF0000"/>
        <rFont val="Meiryo UI"/>
        <family val="3"/>
        <charset val="128"/>
      </rPr>
      <t>※受入れ機関と同一の場合も記入</t>
    </r>
    <rPh sb="1" eb="3">
      <t>ヒッス</t>
    </rPh>
    <rPh sb="4" eb="6">
      <t>ケイヤク</t>
    </rPh>
    <rPh sb="6" eb="8">
      <t>ホウジン</t>
    </rPh>
    <rPh sb="8" eb="10">
      <t>ジョウホウ</t>
    </rPh>
    <rPh sb="12" eb="14">
      <t>ウケイ</t>
    </rPh>
    <rPh sb="15" eb="17">
      <t>キカン</t>
    </rPh>
    <rPh sb="18" eb="20">
      <t>ドウイツ</t>
    </rPh>
    <rPh sb="21" eb="23">
      <t>バアイ</t>
    </rPh>
    <rPh sb="24" eb="26">
      <t>キニュウ</t>
    </rPh>
    <phoneticPr fontId="14"/>
  </si>
  <si>
    <t>(半角英数字：HPなどで公表している正式な表記)</t>
    <rPh sb="1" eb="3">
      <t>ハンカク</t>
    </rPh>
    <rPh sb="3" eb="6">
      <t>エイスウジ</t>
    </rPh>
    <phoneticPr fontId="14"/>
  </si>
  <si>
    <t>※選択してください</t>
  </si>
  <si>
    <t>(実施主担当者　役職名)</t>
    <rPh sb="1" eb="3">
      <t>ジッシ</t>
    </rPh>
    <rPh sb="3" eb="4">
      <t>シュ</t>
    </rPh>
    <rPh sb="4" eb="7">
      <t>タントウシャ</t>
    </rPh>
    <rPh sb="8" eb="10">
      <t>ヤクショク</t>
    </rPh>
    <rPh sb="10" eb="11">
      <t>メイ</t>
    </rPh>
    <phoneticPr fontId="14"/>
  </si>
  <si>
    <t>(実施主担当者　氏名)</t>
    <rPh sb="1" eb="3">
      <t>ジッシ</t>
    </rPh>
    <rPh sb="3" eb="4">
      <t>シュ</t>
    </rPh>
    <rPh sb="4" eb="7">
      <t>タントウシャ</t>
    </rPh>
    <rPh sb="8" eb="10">
      <t>シメイ</t>
    </rPh>
    <phoneticPr fontId="14"/>
  </si>
  <si>
    <t>～</t>
  </si>
  <si>
    <t>法人番号</t>
    <rPh sb="0" eb="2">
      <t>ホウジン</t>
    </rPh>
    <rPh sb="2" eb="4">
      <t>バンゴウ</t>
    </rPh>
    <phoneticPr fontId="14"/>
  </si>
  <si>
    <t>契約法人名</t>
    <rPh sb="0" eb="2">
      <t>ケイヤク</t>
    </rPh>
    <rPh sb="2" eb="4">
      <t>ホウジン</t>
    </rPh>
    <rPh sb="4" eb="5">
      <t>メイ</t>
    </rPh>
    <phoneticPr fontId="14"/>
  </si>
  <si>
    <t>１）受入れ機関概要</t>
    <rPh sb="2" eb="4">
      <t>ウケイレ</t>
    </rPh>
    <rPh sb="5" eb="7">
      <t>キカン</t>
    </rPh>
    <rPh sb="7" eb="9">
      <t>ガイヨウ</t>
    </rPh>
    <phoneticPr fontId="14"/>
  </si>
  <si>
    <t>２）送出し機関概要　</t>
    <rPh sb="2" eb="3">
      <t>オク</t>
    </rPh>
    <rPh sb="3" eb="4">
      <t>ダ</t>
    </rPh>
    <rPh sb="5" eb="7">
      <t>キカン</t>
    </rPh>
    <rPh sb="7" eb="9">
      <t>ガイヨウ</t>
    </rPh>
    <phoneticPr fontId="14"/>
  </si>
  <si>
    <r>
      <rPr>
        <sz val="10"/>
        <color rgb="FFFF0000"/>
        <rFont val="Meiryo UI"/>
        <family val="3"/>
        <charset val="128"/>
      </rPr>
      <t>【必須】</t>
    </r>
    <r>
      <rPr>
        <sz val="10"/>
        <color theme="1"/>
        <rFont val="Meiryo UI"/>
        <family val="3"/>
        <charset val="128"/>
      </rPr>
      <t>分野</t>
    </r>
    <rPh sb="1" eb="3">
      <t>ヒッス</t>
    </rPh>
    <rPh sb="4" eb="6">
      <t>ブンヤ</t>
    </rPh>
    <phoneticPr fontId="14"/>
  </si>
  <si>
    <r>
      <rPr>
        <sz val="10"/>
        <color rgb="FFFF0000"/>
        <rFont val="Meiryo UI"/>
        <family val="3"/>
        <charset val="128"/>
      </rPr>
      <t>【必須】</t>
    </r>
    <r>
      <rPr>
        <sz val="10"/>
        <color theme="1"/>
        <rFont val="Meiryo UI"/>
        <family val="2"/>
        <charset val="128"/>
      </rPr>
      <t xml:space="preserve">連絡担当者
</t>
    </r>
    <r>
      <rPr>
        <sz val="7.5"/>
        <color theme="1"/>
        <rFont val="Meiryo UI"/>
        <family val="3"/>
        <charset val="128"/>
      </rPr>
      <t>（JSTと連絡調整を行う担当者）</t>
    </r>
    <rPh sb="1" eb="3">
      <t>ヒッス</t>
    </rPh>
    <rPh sb="4" eb="6">
      <t>レンラク</t>
    </rPh>
    <rPh sb="6" eb="9">
      <t>タントウシャ</t>
    </rPh>
    <rPh sb="15" eb="17">
      <t>レンラク</t>
    </rPh>
    <rPh sb="17" eb="19">
      <t>チョウセイ</t>
    </rPh>
    <rPh sb="20" eb="21">
      <t>オコナ</t>
    </rPh>
    <rPh sb="22" eb="25">
      <t>タントウシャ</t>
    </rPh>
    <phoneticPr fontId="14"/>
  </si>
  <si>
    <t>（未確定）</t>
  </si>
  <si>
    <t>５）実施内容・日程：分野</t>
    <phoneticPr fontId="14"/>
  </si>
  <si>
    <t>１）受入れ機関概要：送出し国/地域・人数
３）招へい者：支援金による招へい者の送出し機関・属性別人数</t>
    <phoneticPr fontId="14"/>
  </si>
  <si>
    <t>８）改訂履歴：変更内容種別</t>
    <phoneticPr fontId="14"/>
  </si>
  <si>
    <t>合計</t>
    <rPh sb="0" eb="2">
      <t>ゴウケイ</t>
    </rPh>
    <phoneticPr fontId="14"/>
  </si>
  <si>
    <t>環境系</t>
    <phoneticPr fontId="14"/>
  </si>
  <si>
    <t>理工系</t>
    <phoneticPr fontId="14"/>
  </si>
  <si>
    <t>(日本語)</t>
    <rPh sb="1" eb="4">
      <t>ニホンゴ</t>
    </rPh>
    <phoneticPr fontId="14"/>
  </si>
  <si>
    <t>コース名</t>
    <phoneticPr fontId="14"/>
  </si>
  <si>
    <t>(半角数字 13桁)</t>
    <phoneticPr fontId="14"/>
  </si>
  <si>
    <t>部署</t>
    <rPh sb="0" eb="2">
      <t>ブショ</t>
    </rPh>
    <phoneticPr fontId="14"/>
  </si>
  <si>
    <t>医歯薬系（福祉系含む）</t>
    <rPh sb="5" eb="8">
      <t>フクシケイ</t>
    </rPh>
    <rPh sb="8" eb="9">
      <t>フク</t>
    </rPh>
    <phoneticPr fontId="14"/>
  </si>
  <si>
    <t>安全・防災系</t>
    <phoneticPr fontId="14"/>
  </si>
  <si>
    <t>農学系</t>
    <rPh sb="0" eb="3">
      <t>ノウガクケイ</t>
    </rPh>
    <phoneticPr fontId="14"/>
  </si>
  <si>
    <t>(JST使用欄：修了証作成用）</t>
    <rPh sb="4" eb="6">
      <t>シヨウ</t>
    </rPh>
    <rPh sb="6" eb="7">
      <t>ラン</t>
    </rPh>
    <rPh sb="8" eb="11">
      <t>シュウリョウショウ</t>
    </rPh>
    <rPh sb="11" eb="14">
      <t>サクセイヨウ</t>
    </rPh>
    <phoneticPr fontId="14"/>
  </si>
  <si>
    <t>受付番号</t>
    <phoneticPr fontId="22"/>
  </si>
  <si>
    <t>コース</t>
    <phoneticPr fontId="22"/>
  </si>
  <si>
    <t>枝番</t>
    <phoneticPr fontId="22"/>
  </si>
  <si>
    <t>氏名
(漢字)</t>
    <rPh sb="0" eb="2">
      <t>シメイ</t>
    </rPh>
    <phoneticPr fontId="48"/>
  </si>
  <si>
    <t>性別</t>
    <phoneticPr fontId="22"/>
  </si>
  <si>
    <t>生年月日</t>
    <phoneticPr fontId="48"/>
  </si>
  <si>
    <t xml:space="preserve">送出し機関名
(日本語) </t>
    <phoneticPr fontId="22"/>
  </si>
  <si>
    <t>日本入国日</t>
    <rPh sb="0" eb="2">
      <t>ニホン</t>
    </rPh>
    <rPh sb="2" eb="4">
      <t>ニュウコク</t>
    </rPh>
    <rPh sb="4" eb="5">
      <t>ビ</t>
    </rPh>
    <phoneticPr fontId="48"/>
  </si>
  <si>
    <t>日数</t>
    <rPh sb="0" eb="2">
      <t>ニッスウ</t>
    </rPh>
    <phoneticPr fontId="48"/>
  </si>
  <si>
    <t>国籍</t>
    <phoneticPr fontId="22"/>
  </si>
  <si>
    <t>属性</t>
    <phoneticPr fontId="22"/>
  </si>
  <si>
    <t>引率者</t>
    <phoneticPr fontId="22"/>
  </si>
  <si>
    <t>備考</t>
    <phoneticPr fontId="22"/>
  </si>
  <si>
    <r>
      <t>氏名</t>
    </r>
    <r>
      <rPr>
        <b/>
        <sz val="7"/>
        <rFont val="Meiryo UI"/>
        <family val="3"/>
        <charset val="128"/>
      </rPr>
      <t xml:space="preserve">
(アルファベット)</t>
    </r>
    <rPh sb="0" eb="2">
      <t>シメイ</t>
    </rPh>
    <phoneticPr fontId="22"/>
  </si>
  <si>
    <t>※選択</t>
  </si>
  <si>
    <t>５）実施内容</t>
    <rPh sb="2" eb="4">
      <t>ジッシ</t>
    </rPh>
    <rPh sb="4" eb="6">
      <t>ナイヨウ</t>
    </rPh>
    <phoneticPr fontId="14"/>
  </si>
  <si>
    <t>６）日程</t>
    <rPh sb="2" eb="4">
      <t>ニッテイ</t>
    </rPh>
    <phoneticPr fontId="14"/>
  </si>
  <si>
    <t>７）経費概算見積書</t>
    <rPh sb="2" eb="4">
      <t>ケイヒ</t>
    </rPh>
    <rPh sb="4" eb="6">
      <t>ガイサン</t>
    </rPh>
    <rPh sb="6" eb="9">
      <t>ミツモリショ</t>
    </rPh>
    <phoneticPr fontId="14"/>
  </si>
  <si>
    <t>８）招へい者リスト</t>
    <rPh sb="2" eb="3">
      <t>ショウ</t>
    </rPh>
    <rPh sb="5" eb="6">
      <t>シャ</t>
    </rPh>
    <phoneticPr fontId="14"/>
  </si>
  <si>
    <t>９）改訂履歴</t>
    <rPh sb="2" eb="4">
      <t>カイテイ</t>
    </rPh>
    <rPh sb="4" eb="6">
      <t>リレキ</t>
    </rPh>
    <phoneticPr fontId="14"/>
  </si>
  <si>
    <t>部署・役職</t>
    <rPh sb="0" eb="2">
      <t>ブショ</t>
    </rPh>
    <rPh sb="3" eb="5">
      <t>ヤクショク</t>
    </rPh>
    <phoneticPr fontId="14"/>
  </si>
  <si>
    <t>送出し機関</t>
    <rPh sb="0" eb="1">
      <t>オク</t>
    </rPh>
    <rPh sb="1" eb="2">
      <t>ダ</t>
    </rPh>
    <rPh sb="3" eb="5">
      <t>キカン</t>
    </rPh>
    <phoneticPr fontId="14"/>
  </si>
  <si>
    <t>（例：〇〇大学/中国）</t>
    <rPh sb="1" eb="2">
      <t>レイ</t>
    </rPh>
    <rPh sb="5" eb="7">
      <t>ダイガク</t>
    </rPh>
    <rPh sb="8" eb="10">
      <t>チュウゴク</t>
    </rPh>
    <phoneticPr fontId="14"/>
  </si>
  <si>
    <r>
      <t xml:space="preserve">生年月日
</t>
    </r>
    <r>
      <rPr>
        <sz val="8"/>
        <color theme="1"/>
        <rFont val="Meiryo UI"/>
        <family val="3"/>
        <charset val="128"/>
      </rPr>
      <t>(yyyy/m/d)</t>
    </r>
    <rPh sb="0" eb="2">
      <t>セイネン</t>
    </rPh>
    <rPh sb="2" eb="4">
      <t>ガッピ</t>
    </rPh>
    <phoneticPr fontId="14"/>
  </si>
  <si>
    <r>
      <t xml:space="preserve">日本出国日
</t>
    </r>
    <r>
      <rPr>
        <sz val="8"/>
        <color theme="1"/>
        <rFont val="Meiryo UI"/>
        <family val="3"/>
        <charset val="128"/>
      </rPr>
      <t>(yyyy/m/d)</t>
    </r>
    <rPh sb="0" eb="2">
      <t>ニホン</t>
    </rPh>
    <rPh sb="2" eb="4">
      <t>シュッコク</t>
    </rPh>
    <rPh sb="4" eb="5">
      <t>ビ</t>
    </rPh>
    <phoneticPr fontId="14"/>
  </si>
  <si>
    <r>
      <t xml:space="preserve">日本入国日
</t>
    </r>
    <r>
      <rPr>
        <sz val="8"/>
        <color theme="1"/>
        <rFont val="Meiryo UI"/>
        <family val="3"/>
        <charset val="128"/>
      </rPr>
      <t>(yyyy/m/d)</t>
    </r>
    <rPh sb="0" eb="2">
      <t>ニホン</t>
    </rPh>
    <rPh sb="2" eb="4">
      <t>ニュウコク</t>
    </rPh>
    <rPh sb="4" eb="5">
      <t>ビ</t>
    </rPh>
    <phoneticPr fontId="14"/>
  </si>
  <si>
    <t>招へい
期間</t>
    <phoneticPr fontId="14"/>
  </si>
  <si>
    <t>(申請時記入不要)</t>
    <phoneticPr fontId="14"/>
  </si>
  <si>
    <t>意見交換会費用</t>
    <rPh sb="0" eb="2">
      <t>イケン</t>
    </rPh>
    <rPh sb="2" eb="4">
      <t>コウカン</t>
    </rPh>
    <phoneticPr fontId="14"/>
  </si>
  <si>
    <t>実施内容とその意義</t>
    <phoneticPr fontId="14"/>
  </si>
  <si>
    <t>(入国日)</t>
    <rPh sb="1" eb="3">
      <t>ニュウコク</t>
    </rPh>
    <rPh sb="3" eb="4">
      <t>ビ</t>
    </rPh>
    <phoneticPr fontId="14"/>
  </si>
  <si>
    <t>(出国日)</t>
    <rPh sb="1" eb="3">
      <t>シュッコク</t>
    </rPh>
    <rPh sb="3" eb="4">
      <t>ビ</t>
    </rPh>
    <phoneticPr fontId="14"/>
  </si>
  <si>
    <r>
      <rPr>
        <sz val="9"/>
        <color rgb="FFFF0000"/>
        <rFont val="Meiryo UI"/>
        <family val="3"/>
        <charset val="128"/>
      </rPr>
      <t>【必須】</t>
    </r>
    <r>
      <rPr>
        <sz val="9"/>
        <color theme="1"/>
        <rFont val="Meiryo UI"/>
        <family val="3"/>
        <charset val="128"/>
      </rPr>
      <t>自己資金招へい者の有無</t>
    </r>
    <rPh sb="1" eb="3">
      <t>ヒッス</t>
    </rPh>
    <rPh sb="4" eb="6">
      <t>ジコ</t>
    </rPh>
    <rPh sb="6" eb="8">
      <t>シキン</t>
    </rPh>
    <rPh sb="8" eb="9">
      <t>ショウ</t>
    </rPh>
    <rPh sb="11" eb="12">
      <t>シャ</t>
    </rPh>
    <rPh sb="13" eb="15">
      <t>ウム</t>
    </rPh>
    <phoneticPr fontId="14"/>
  </si>
  <si>
    <t>招へい者選抜の結果による</t>
  </si>
  <si>
    <t>特になし</t>
  </si>
  <si>
    <t>●●大学について先方都合により中止となったため見直し</t>
  </si>
  <si>
    <r>
      <rPr>
        <sz val="10"/>
        <color rgb="FFFF0000"/>
        <rFont val="Meiryo UI"/>
        <family val="3"/>
        <charset val="128"/>
      </rPr>
      <t>【必須】</t>
    </r>
    <r>
      <rPr>
        <sz val="10"/>
        <color theme="1"/>
        <rFont val="Meiryo UI"/>
        <family val="2"/>
        <charset val="128"/>
      </rPr>
      <t>実施主担当者</t>
    </r>
    <r>
      <rPr>
        <sz val="8"/>
        <color theme="1"/>
        <rFont val="Meiryo UI"/>
        <family val="3"/>
        <charset val="128"/>
      </rPr>
      <t xml:space="preserve">
</t>
    </r>
    <r>
      <rPr>
        <sz val="7.5"/>
        <color theme="1"/>
        <rFont val="Meiryo UI"/>
        <family val="3"/>
        <charset val="128"/>
      </rPr>
      <t>（交流を中心的に実施する
　担当者）</t>
    </r>
    <rPh sb="1" eb="3">
      <t>ヒッス</t>
    </rPh>
    <rPh sb="4" eb="6">
      <t>ジッシ</t>
    </rPh>
    <rPh sb="6" eb="7">
      <t>シュ</t>
    </rPh>
    <rPh sb="7" eb="10">
      <t>タントウシャ</t>
    </rPh>
    <rPh sb="27" eb="28">
      <t>シャ</t>
    </rPh>
    <phoneticPr fontId="14"/>
  </si>
  <si>
    <r>
      <rPr>
        <sz val="10"/>
        <color rgb="FFFF0000"/>
        <rFont val="Meiryo UI"/>
        <family val="3"/>
        <charset val="128"/>
      </rPr>
      <t>【必須】</t>
    </r>
    <r>
      <rPr>
        <sz val="10"/>
        <color theme="1"/>
        <rFont val="Meiryo UI"/>
        <family val="2"/>
        <charset val="128"/>
      </rPr>
      <t xml:space="preserve">実施責任者
</t>
    </r>
    <r>
      <rPr>
        <sz val="7.5"/>
        <color rgb="FFFF0000"/>
        <rFont val="Meiryo UI"/>
        <family val="3"/>
        <charset val="128"/>
      </rPr>
      <t>※実施協定書契約者押印欄に
   記載する内容を記入</t>
    </r>
    <rPh sb="19" eb="21">
      <t>オウイン</t>
    </rPh>
    <rPh sb="21" eb="22">
      <t>ラン</t>
    </rPh>
    <rPh sb="27" eb="29">
      <t>キサイ</t>
    </rPh>
    <rPh sb="33" eb="35">
      <t>ナイヨウキニュウ</t>
    </rPh>
    <phoneticPr fontId="14"/>
  </si>
  <si>
    <t>【任意】経費計画の特徴</t>
    <phoneticPr fontId="22"/>
  </si>
  <si>
    <t>人×回</t>
    <rPh sb="0" eb="1">
      <t>ヒト</t>
    </rPh>
    <rPh sb="2" eb="3">
      <t>カイ</t>
    </rPh>
    <phoneticPr fontId="14"/>
  </si>
  <si>
    <t>国立大学</t>
  </si>
  <si>
    <t>大学名のみ</t>
  </si>
  <si>
    <t>国立大学法人〇〇大学</t>
  </si>
  <si>
    <t>公立大学</t>
  </si>
  <si>
    <t>公立大学法人〇〇大学</t>
  </si>
  <si>
    <t>私立大学</t>
  </si>
  <si>
    <t>学校法人〇〇</t>
  </si>
  <si>
    <t>公立高校</t>
  </si>
  <si>
    <t>東京都立〇〇高校</t>
  </si>
  <si>
    <t>東京都</t>
  </si>
  <si>
    <t>私立高校</t>
  </si>
  <si>
    <t>高校名のみ</t>
  </si>
  <si>
    <t>国立高等専門学校</t>
  </si>
  <si>
    <t>高専名のみ</t>
  </si>
  <si>
    <t>独立行政法人国立高等専門学校機構</t>
  </si>
  <si>
    <t>地方公共団体</t>
  </si>
  <si>
    <t>都道府県・市区町村名</t>
  </si>
  <si>
    <t>民間企業</t>
  </si>
  <si>
    <t>株式会社○○</t>
  </si>
  <si>
    <t>上記以外の法人の例</t>
  </si>
  <si>
    <t>〇〇財団法人〇〇財団</t>
  </si>
  <si>
    <t>国立研究開発法人〇〇機構</t>
  </si>
  <si>
    <t>大学共同利用機関法人〇〇機構</t>
  </si>
  <si>
    <t>https://www.houjin-bangou.nta.go.jp/</t>
    <phoneticPr fontId="14"/>
  </si>
  <si>
    <t>(交流計画を実施する機関)</t>
    <rPh sb="1" eb="3">
      <t>コウリュウ</t>
    </rPh>
    <rPh sb="3" eb="5">
      <t>ケイカク</t>
    </rPh>
    <phoneticPr fontId="14"/>
  </si>
  <si>
    <t xml:space="preserve">受入れ機関の変更【※】 </t>
    <phoneticPr fontId="14"/>
  </si>
  <si>
    <t xml:space="preserve">実施主担当者の変更【※】 </t>
    <phoneticPr fontId="14"/>
  </si>
  <si>
    <t xml:space="preserve">流用制限を超える負担対象費用の変更【※】 </t>
    <phoneticPr fontId="14"/>
  </si>
  <si>
    <t>改訂履歴のみ</t>
    <phoneticPr fontId="14"/>
  </si>
  <si>
    <t>(招へい者に授与する修了証に記載される名称　※上記受入れ機関名と異なっても構いません。)</t>
    <rPh sb="1" eb="2">
      <t>ショウ</t>
    </rPh>
    <rPh sb="4" eb="5">
      <t>シャ</t>
    </rPh>
    <rPh sb="6" eb="8">
      <t>ジュヨ</t>
    </rPh>
    <rPh sb="14" eb="16">
      <t>キサイ</t>
    </rPh>
    <rPh sb="19" eb="21">
      <t>メイショウ</t>
    </rPh>
    <rPh sb="23" eb="25">
      <t>ジョウキ</t>
    </rPh>
    <rPh sb="25" eb="27">
      <t>ウケイ</t>
    </rPh>
    <rPh sb="28" eb="30">
      <t>キカン</t>
    </rPh>
    <rPh sb="30" eb="31">
      <t>メイ</t>
    </rPh>
    <rPh sb="32" eb="33">
      <t>コト</t>
    </rPh>
    <rPh sb="37" eb="38">
      <t>カマ</t>
    </rPh>
    <phoneticPr fontId="14"/>
  </si>
  <si>
    <t>「修了証」記載機関名（英語）</t>
    <rPh sb="1" eb="4">
      <t>シュウリョウショウ</t>
    </rPh>
    <rPh sb="5" eb="7">
      <t>キサイ</t>
    </rPh>
    <rPh sb="7" eb="9">
      <t>キカン</t>
    </rPh>
    <rPh sb="9" eb="10">
      <t>メイ</t>
    </rPh>
    <rPh sb="11" eb="13">
      <t>エイゴ</t>
    </rPh>
    <phoneticPr fontId="14"/>
  </si>
  <si>
    <r>
      <rPr>
        <sz val="10"/>
        <color rgb="FFFF0000"/>
        <rFont val="Meiryo UI"/>
        <family val="3"/>
        <charset val="128"/>
      </rPr>
      <t>【必須】</t>
    </r>
    <r>
      <rPr>
        <sz val="10"/>
        <rFont val="Meiryo UI"/>
        <family val="3"/>
        <charset val="128"/>
      </rPr>
      <t>受入れ機関名（日本語）</t>
    </r>
    <rPh sb="1" eb="3">
      <t>ヒッス</t>
    </rPh>
    <rPh sb="4" eb="6">
      <t>ウケイ</t>
    </rPh>
    <rPh sb="7" eb="9">
      <t>キカン</t>
    </rPh>
    <rPh sb="9" eb="10">
      <t>メイ</t>
    </rPh>
    <phoneticPr fontId="14"/>
  </si>
  <si>
    <r>
      <rPr>
        <sz val="10"/>
        <color rgb="FFFF0000"/>
        <rFont val="Meiryo UI"/>
        <family val="3"/>
        <charset val="128"/>
      </rPr>
      <t>【必須】</t>
    </r>
    <r>
      <rPr>
        <sz val="10"/>
        <rFont val="Meiryo UI"/>
        <family val="3"/>
        <charset val="128"/>
      </rPr>
      <t>「修了証」記載機関名（英語）</t>
    </r>
    <rPh sb="1" eb="3">
      <t>ヒッス</t>
    </rPh>
    <rPh sb="5" eb="8">
      <t>シュウリョウショウ</t>
    </rPh>
    <rPh sb="9" eb="11">
      <t>キサイ</t>
    </rPh>
    <rPh sb="11" eb="13">
      <t>キカン</t>
    </rPh>
    <rPh sb="13" eb="14">
      <t>メイ</t>
    </rPh>
    <phoneticPr fontId="14"/>
  </si>
  <si>
    <t>受入れ機関名(日本語)</t>
    <rPh sb="7" eb="10">
      <t>ニホンゴ</t>
    </rPh>
    <phoneticPr fontId="22"/>
  </si>
  <si>
    <t>修了証記載機関名（英語）</t>
    <rPh sb="0" eb="3">
      <t>シュウリョウショウ</t>
    </rPh>
    <rPh sb="3" eb="5">
      <t>キサイ</t>
    </rPh>
    <phoneticPr fontId="14"/>
  </si>
  <si>
    <t>国内交通費</t>
    <phoneticPr fontId="14"/>
  </si>
  <si>
    <t>招へい者</t>
    <phoneticPr fontId="14"/>
  </si>
  <si>
    <t>協力者</t>
    <phoneticPr fontId="14"/>
  </si>
  <si>
    <r>
      <rPr>
        <sz val="9"/>
        <color theme="1"/>
        <rFont val="Meiryo UI"/>
        <family val="3"/>
        <charset val="128"/>
      </rPr>
      <t>国内滞在費</t>
    </r>
    <r>
      <rPr>
        <sz val="10"/>
        <color theme="1"/>
        <rFont val="Meiryo UI"/>
        <family val="3"/>
        <charset val="128"/>
      </rPr>
      <t xml:space="preserve">
</t>
    </r>
    <r>
      <rPr>
        <sz val="7"/>
        <color theme="1"/>
        <rFont val="Meiryo UI"/>
        <family val="3"/>
        <charset val="128"/>
      </rPr>
      <t>＊宿泊費・日当の単価合算は15,000円以下</t>
    </r>
    <phoneticPr fontId="14"/>
  </si>
  <si>
    <t>総人数（人）</t>
    <rPh sb="0" eb="1">
      <t>ソウ</t>
    </rPh>
    <rPh sb="1" eb="3">
      <t>ニンズウ</t>
    </rPh>
    <rPh sb="4" eb="5">
      <t>ニン</t>
    </rPh>
    <phoneticPr fontId="14"/>
  </si>
  <si>
    <r>
      <t>送出し機関名/国名・地域名　</t>
    </r>
    <r>
      <rPr>
        <sz val="8"/>
        <color theme="1"/>
        <rFont val="Meiryo UI"/>
        <family val="3"/>
        <charset val="128"/>
      </rPr>
      <t>※すべて記入</t>
    </r>
    <rPh sb="0" eb="2">
      <t>オクリダ</t>
    </rPh>
    <rPh sb="3" eb="5">
      <t>キカン</t>
    </rPh>
    <rPh sb="5" eb="6">
      <t>メイ</t>
    </rPh>
    <rPh sb="7" eb="9">
      <t>コクメイ</t>
    </rPh>
    <rPh sb="10" eb="13">
      <t>チイキメイ</t>
    </rPh>
    <rPh sb="18" eb="20">
      <t>キニュウ</t>
    </rPh>
    <phoneticPr fontId="14"/>
  </si>
  <si>
    <t>総額（円）</t>
    <rPh sb="0" eb="2">
      <t>ソウガク</t>
    </rPh>
    <rPh sb="3" eb="4">
      <t>エン</t>
    </rPh>
    <phoneticPr fontId="14"/>
  </si>
  <si>
    <r>
      <rPr>
        <sz val="10"/>
        <color rgb="FFFF0000"/>
        <rFont val="Meiryo UI"/>
        <family val="3"/>
        <charset val="128"/>
      </rPr>
      <t>【必須】</t>
    </r>
    <r>
      <rPr>
        <sz val="10"/>
        <rFont val="Meiryo UI"/>
        <family val="3"/>
        <charset val="128"/>
      </rPr>
      <t>(1)安全かつ円滑</t>
    </r>
    <r>
      <rPr>
        <sz val="10"/>
        <color theme="1"/>
        <rFont val="Meiryo UI"/>
        <family val="3"/>
        <charset val="128"/>
      </rPr>
      <t>に交流計画を実施するための準備や体制　</t>
    </r>
    <r>
      <rPr>
        <sz val="9"/>
        <color theme="1"/>
        <rFont val="Meiryo UI"/>
        <family val="2"/>
        <charset val="128"/>
      </rPr>
      <t>※渡航に必要な連絡調整および実施中のサポート人員、体制を記入してください。</t>
    </r>
    <rPh sb="7" eb="9">
      <t>アンゼン</t>
    </rPh>
    <rPh sb="11" eb="13">
      <t>エンカツ</t>
    </rPh>
    <rPh sb="14" eb="16">
      <t>コウリュウ</t>
    </rPh>
    <rPh sb="16" eb="18">
      <t>ケイカク</t>
    </rPh>
    <rPh sb="19" eb="21">
      <t>ジッシ</t>
    </rPh>
    <rPh sb="26" eb="28">
      <t>ジュンビ</t>
    </rPh>
    <rPh sb="29" eb="31">
      <t>タイセイ</t>
    </rPh>
    <rPh sb="60" eb="62">
      <t>キニュウ</t>
    </rPh>
    <phoneticPr fontId="14"/>
  </si>
  <si>
    <r>
      <rPr>
        <sz val="10"/>
        <color rgb="FFFF0000"/>
        <rFont val="Meiryo UI"/>
        <family val="3"/>
        <charset val="128"/>
      </rPr>
      <t>【必須】</t>
    </r>
    <r>
      <rPr>
        <sz val="10"/>
        <rFont val="Meiryo UI"/>
        <family val="3"/>
        <charset val="128"/>
      </rPr>
      <t>(2)招</t>
    </r>
    <r>
      <rPr>
        <sz val="10"/>
        <color theme="1"/>
        <rFont val="Meiryo UI"/>
        <family val="3"/>
        <charset val="128"/>
      </rPr>
      <t>へい者が能動的に参加できる体験や交流が含まれているかについて</t>
    </r>
    <phoneticPr fontId="14"/>
  </si>
  <si>
    <t>受入れ機関名（日本語）</t>
    <rPh sb="7" eb="10">
      <t>ニホンゴ</t>
    </rPh>
    <phoneticPr fontId="14"/>
  </si>
  <si>
    <t>契約法人情報　契約法人名</t>
    <rPh sb="0" eb="2">
      <t>ケイヤク</t>
    </rPh>
    <rPh sb="2" eb="4">
      <t>ホウジン</t>
    </rPh>
    <rPh sb="4" eb="6">
      <t>ジョウホウ</t>
    </rPh>
    <phoneticPr fontId="14"/>
  </si>
  <si>
    <t>※「修了証(英文)」へ記載する名称については、受入れ機関の下部組織名称でも構いません。</t>
    <rPh sb="2" eb="4">
      <t>シュウリョウ</t>
    </rPh>
    <rPh sb="4" eb="5">
      <t>ショウ</t>
    </rPh>
    <rPh sb="6" eb="8">
      <t>エイブン</t>
    </rPh>
    <rPh sb="11" eb="13">
      <t>キサイ</t>
    </rPh>
    <rPh sb="15" eb="17">
      <t>メイショウ</t>
    </rPh>
    <rPh sb="23" eb="25">
      <t>ウケイ</t>
    </rPh>
    <rPh sb="26" eb="28">
      <t>キカン</t>
    </rPh>
    <rPh sb="29" eb="31">
      <t>カブ</t>
    </rPh>
    <rPh sb="31" eb="33">
      <t>ソシキ</t>
    </rPh>
    <rPh sb="33" eb="35">
      <t>メイショウ</t>
    </rPh>
    <rPh sb="37" eb="38">
      <t>カマ</t>
    </rPh>
    <phoneticPr fontId="14"/>
  </si>
  <si>
    <r>
      <t xml:space="preserve">機関概要（日本語）
</t>
    </r>
    <r>
      <rPr>
        <sz val="8"/>
        <color theme="1"/>
        <rFont val="Meiryo UI"/>
        <family val="3"/>
        <charset val="128"/>
      </rPr>
      <t>※優秀な招へい者を擁する機関であることの説明を含めてください。</t>
    </r>
    <rPh sb="0" eb="2">
      <t>キカン</t>
    </rPh>
    <rPh sb="2" eb="4">
      <t>ガイヨウ</t>
    </rPh>
    <rPh sb="5" eb="8">
      <t>ニホンゴ</t>
    </rPh>
    <rPh sb="11" eb="13">
      <t>ユウシュウ</t>
    </rPh>
    <rPh sb="14" eb="15">
      <t>ショウ</t>
    </rPh>
    <rPh sb="17" eb="18">
      <t>シャ</t>
    </rPh>
    <rPh sb="19" eb="20">
      <t>ヨウ</t>
    </rPh>
    <rPh sb="22" eb="24">
      <t>キカン</t>
    </rPh>
    <rPh sb="30" eb="32">
      <t>セツメイ</t>
    </rPh>
    <rPh sb="33" eb="34">
      <t>フク</t>
    </rPh>
    <phoneticPr fontId="14"/>
  </si>
  <si>
    <t>招へい者の要件</t>
    <rPh sb="0" eb="1">
      <t>ショウ</t>
    </rPh>
    <rPh sb="3" eb="4">
      <t>シャ</t>
    </rPh>
    <rPh sb="5" eb="7">
      <t>ヨウケン</t>
    </rPh>
    <phoneticPr fontId="14"/>
  </si>
  <si>
    <r>
      <t>【必須】</t>
    </r>
    <r>
      <rPr>
        <sz val="10"/>
        <rFont val="Meiryo UI"/>
        <family val="3"/>
        <charset val="128"/>
      </rPr>
      <t>Aコース：体験する先端的科学技術、　Bコース：研究課題（あるいはその方向性）、　Cコース：研修で身につける技術・能力　</t>
    </r>
    <rPh sb="1" eb="3">
      <t>ヒッス</t>
    </rPh>
    <rPh sb="18" eb="20">
      <t>ギジュツ</t>
    </rPh>
    <phoneticPr fontId="14"/>
  </si>
  <si>
    <t>目的、趣旨</t>
    <phoneticPr fontId="14"/>
  </si>
  <si>
    <r>
      <rPr>
        <sz val="10"/>
        <color rgb="FFFF0000"/>
        <rFont val="Meiryo UI"/>
        <family val="3"/>
        <charset val="128"/>
      </rPr>
      <t>【必須】</t>
    </r>
    <r>
      <rPr>
        <sz val="10"/>
        <rFont val="Meiryo UI"/>
        <family val="3"/>
        <charset val="128"/>
      </rPr>
      <t>(1)</t>
    </r>
    <r>
      <rPr>
        <sz val="10"/>
        <color theme="1"/>
        <rFont val="Meiryo UI"/>
        <family val="3"/>
        <charset val="128"/>
      </rPr>
      <t>交流計画の目的、趣旨</t>
    </r>
    <phoneticPr fontId="14"/>
  </si>
  <si>
    <t>　直接経費／渡航費</t>
    <rPh sb="1" eb="3">
      <t>チョクセツ</t>
    </rPh>
    <rPh sb="3" eb="5">
      <t>ケイヒ</t>
    </rPh>
    <rPh sb="6" eb="9">
      <t>トコウヒ</t>
    </rPh>
    <phoneticPr fontId="14"/>
  </si>
  <si>
    <t>直接経費／渡航費</t>
    <phoneticPr fontId="22"/>
  </si>
  <si>
    <t xml:space="preserve"> (2)経費の必要性について</t>
    <phoneticPr fontId="22"/>
  </si>
  <si>
    <t xml:space="preserve"> (3)その他</t>
    <phoneticPr fontId="22"/>
  </si>
  <si>
    <t>＊高校生・高等専門学校生の招へいに限る
＊1言語につき1イベントあたり1人まで</t>
    <rPh sb="13" eb="14">
      <t>ショウ</t>
    </rPh>
    <phoneticPr fontId="14"/>
  </si>
  <si>
    <t>招へい期間</t>
    <rPh sb="0" eb="1">
      <t>ショウ</t>
    </rPh>
    <phoneticPr fontId="14"/>
  </si>
  <si>
    <r>
      <rPr>
        <sz val="10"/>
        <color rgb="FFFF0000"/>
        <rFont val="Meiryo UI"/>
        <family val="3"/>
        <charset val="128"/>
      </rPr>
      <t>【必須】</t>
    </r>
    <r>
      <rPr>
        <sz val="10"/>
        <rFont val="Meiryo UI"/>
        <family val="3"/>
        <charset val="128"/>
      </rPr>
      <t>(1)具</t>
    </r>
    <r>
      <rPr>
        <sz val="10"/>
        <color theme="1"/>
        <rFont val="Meiryo UI"/>
        <family val="3"/>
        <charset val="128"/>
      </rPr>
      <t>体的な実施内容や主な訪問先が、交流計画の目的、趣旨に対して適切で効果的であるかについて</t>
    </r>
    <phoneticPr fontId="14"/>
  </si>
  <si>
    <t>（記入例）</t>
    <rPh sb="1" eb="3">
      <t>キニュウ</t>
    </rPh>
    <rPh sb="3" eb="4">
      <t>レイ</t>
    </rPh>
    <phoneticPr fontId="14"/>
  </si>
  <si>
    <t xml:space="preserve">プログラム </t>
    <phoneticPr fontId="14"/>
  </si>
  <si>
    <t>期間外</t>
    <phoneticPr fontId="14"/>
  </si>
  <si>
    <t>※上記機関の下部組織(研究所、病院、センターなど)については「部署」欄に記入してください。</t>
    <rPh sb="1" eb="3">
      <t>ジョウキ</t>
    </rPh>
    <rPh sb="3" eb="5">
      <t>キカン</t>
    </rPh>
    <rPh sb="6" eb="8">
      <t>カブ</t>
    </rPh>
    <rPh sb="8" eb="10">
      <t>ソシキ</t>
    </rPh>
    <rPh sb="11" eb="14">
      <t>ケンキュウショ</t>
    </rPh>
    <rPh sb="15" eb="17">
      <t>ビョウイン</t>
    </rPh>
    <rPh sb="31" eb="33">
      <t>ブショ</t>
    </rPh>
    <rPh sb="34" eb="35">
      <t>ラン</t>
    </rPh>
    <rPh sb="36" eb="38">
      <t>キニュウ</t>
    </rPh>
    <phoneticPr fontId="14"/>
  </si>
  <si>
    <t>←のちに実施協定書などに反映されるため、数字は全角で入力してください。</t>
    <rPh sb="4" eb="6">
      <t>ジッシ</t>
    </rPh>
    <rPh sb="6" eb="8">
      <t>キョウテイ</t>
    </rPh>
    <rPh sb="8" eb="9">
      <t>ショ</t>
    </rPh>
    <rPh sb="12" eb="14">
      <t>ハンエイ</t>
    </rPh>
    <rPh sb="20" eb="22">
      <t>スウジ</t>
    </rPh>
    <rPh sb="23" eb="25">
      <t>ゼンカク</t>
    </rPh>
    <rPh sb="26" eb="28">
      <t>ニュウリョク</t>
    </rPh>
    <phoneticPr fontId="14"/>
  </si>
  <si>
    <t xml:space="preserve">＜変更内容など記入例＞ </t>
  </si>
  <si>
    <t>←1)シートのオンライン交流実施日程について記入がある場合は自動入力されます。
オンライン交流の実施日程を修正する場合は、1)シートに戻って修正してください。</t>
    <phoneticPr fontId="14"/>
  </si>
  <si>
    <t>品名等</t>
    <rPh sb="0" eb="2">
      <t>ヒンメイ</t>
    </rPh>
    <rPh sb="2" eb="3">
      <t>トウ</t>
    </rPh>
    <phoneticPr fontId="22"/>
  </si>
  <si>
    <t>一式</t>
    <rPh sb="0" eb="2">
      <t>イッシキ</t>
    </rPh>
    <phoneticPr fontId="14"/>
  </si>
  <si>
    <t>予算額</t>
    <rPh sb="0" eb="2">
      <t>ヨサン</t>
    </rPh>
    <phoneticPr fontId="14"/>
  </si>
  <si>
    <t>総額</t>
    <rPh sb="0" eb="2">
      <t>ソウガク</t>
    </rPh>
    <phoneticPr fontId="14"/>
  </si>
  <si>
    <t>費目</t>
    <rPh sb="0" eb="2">
      <t>ヒモク</t>
    </rPh>
    <phoneticPr fontId="22"/>
  </si>
  <si>
    <t>直接経費／プログラム経費</t>
    <rPh sb="0" eb="2">
      <t>チョクセツ</t>
    </rPh>
    <rPh sb="2" eb="4">
      <t>ケイヒ</t>
    </rPh>
    <rPh sb="10" eb="12">
      <t>ケイヒ</t>
    </rPh>
    <phoneticPr fontId="22"/>
  </si>
  <si>
    <r>
      <rPr>
        <sz val="9"/>
        <color theme="1"/>
        <rFont val="Meiryo UI"/>
        <family val="3"/>
        <charset val="128"/>
      </rPr>
      <t>使途など</t>
    </r>
    <r>
      <rPr>
        <sz val="10"/>
        <color theme="1"/>
        <rFont val="Meiryo UI"/>
        <family val="3"/>
        <charset val="128"/>
      </rPr>
      <t xml:space="preserve">
</t>
    </r>
    <r>
      <rPr>
        <sz val="8"/>
        <color theme="1"/>
        <rFont val="Meiryo UI"/>
        <family val="3"/>
        <charset val="128"/>
      </rPr>
      <t>＊金額内訳は本欄には記入しない</t>
    </r>
    <rPh sb="0" eb="2">
      <t>シト</t>
    </rPh>
    <phoneticPr fontId="14"/>
  </si>
  <si>
    <t>基礎枠</t>
    <rPh sb="0" eb="2">
      <t>キソ</t>
    </rPh>
    <rPh sb="2" eb="3">
      <t>ワク</t>
    </rPh>
    <phoneticPr fontId="14"/>
  </si>
  <si>
    <t>追加枠</t>
    <rPh sb="0" eb="3">
      <t>ツイカワク</t>
    </rPh>
    <phoneticPr fontId="14"/>
  </si>
  <si>
    <t>（記入例）</t>
  </si>
  <si>
    <r>
      <rPr>
        <sz val="10"/>
        <color rgb="FFFF0000"/>
        <rFont val="Meiryo UI"/>
        <family val="3"/>
        <charset val="128"/>
      </rPr>
      <t>【プログラム経費の追加費用を申請する場合は必須】</t>
    </r>
    <r>
      <rPr>
        <sz val="10"/>
        <color theme="1"/>
        <rFont val="Meiryo UI"/>
        <family val="3"/>
        <charset val="128"/>
      </rPr>
      <t>プログラム経費　その他に関する追加費用明細</t>
    </r>
    <rPh sb="6" eb="8">
      <t>ケイヒ</t>
    </rPh>
    <rPh sb="9" eb="11">
      <t>ツイカ</t>
    </rPh>
    <rPh sb="11" eb="13">
      <t>ヒヨウ</t>
    </rPh>
    <rPh sb="14" eb="16">
      <t>シンセイ</t>
    </rPh>
    <rPh sb="18" eb="20">
      <t>バアイ</t>
    </rPh>
    <rPh sb="29" eb="31">
      <t>ケイヒ</t>
    </rPh>
    <rPh sb="34" eb="35">
      <t>タ</t>
    </rPh>
    <rPh sb="36" eb="37">
      <t>カン</t>
    </rPh>
    <rPh sb="39" eb="41">
      <t>ツイカ</t>
    </rPh>
    <rPh sb="41" eb="43">
      <t>ヒヨウ</t>
    </rPh>
    <rPh sb="43" eb="45">
      <t>メイサイ</t>
    </rPh>
    <phoneticPr fontId="22"/>
  </si>
  <si>
    <t>その他　追加枠
※以下の費用を計上してください。</t>
    <rPh sb="2" eb="3">
      <t>タ</t>
    </rPh>
    <phoneticPr fontId="14"/>
  </si>
  <si>
    <t>オンライン交流実施日程（開始日～終了日）</t>
    <rPh sb="9" eb="11">
      <t>ニッテイ</t>
    </rPh>
    <phoneticPr fontId="14"/>
  </si>
  <si>
    <t>＊協力者の帯同は3名を目安に計上可能</t>
    <rPh sb="11" eb="13">
      <t>メヤス</t>
    </rPh>
    <phoneticPr fontId="14"/>
  </si>
  <si>
    <t>＊3名を目安に計上可能</t>
    <rPh sb="2" eb="3">
      <t>メイ</t>
    </rPh>
    <rPh sb="4" eb="6">
      <t>メヤス</t>
    </rPh>
    <rPh sb="7" eb="9">
      <t>ケイジョウ</t>
    </rPh>
    <rPh sb="9" eb="11">
      <t>カノウ</t>
    </rPh>
    <phoneticPr fontId="14"/>
  </si>
  <si>
    <t>(実施主担当者　受入れ機関名より下位の部署名)</t>
    <rPh sb="16" eb="18">
      <t>カイ</t>
    </rPh>
    <phoneticPr fontId="14"/>
  </si>
  <si>
    <r>
      <rPr>
        <sz val="10"/>
        <color rgb="FFFF0000"/>
        <rFont val="Meiryo UI"/>
        <family val="3"/>
        <charset val="128"/>
      </rPr>
      <t>【必須】</t>
    </r>
    <r>
      <rPr>
        <sz val="10"/>
        <rFont val="Meiryo UI"/>
        <family val="3"/>
        <charset val="128"/>
      </rPr>
      <t>JST</t>
    </r>
    <r>
      <rPr>
        <sz val="10"/>
        <color theme="1"/>
        <rFont val="Meiryo UI"/>
        <family val="3"/>
        <charset val="128"/>
      </rPr>
      <t>支援金による招へい者の送出し機関・属性別人数　　</t>
    </r>
    <r>
      <rPr>
        <sz val="9"/>
        <color rgb="FFFF0000"/>
        <rFont val="Meiryo UI"/>
        <family val="3"/>
        <charset val="128"/>
      </rPr>
      <t xml:space="preserve">※引率者含む </t>
    </r>
    <r>
      <rPr>
        <sz val="9"/>
        <color theme="1"/>
        <rFont val="Meiryo UI"/>
        <family val="3"/>
        <charset val="128"/>
      </rPr>
      <t>※自己資金招へい者除く</t>
    </r>
    <rPh sb="1" eb="3">
      <t>ヒッス</t>
    </rPh>
    <rPh sb="16" eb="17">
      <t>シャ</t>
    </rPh>
    <rPh sb="18" eb="20">
      <t>オクリダ</t>
    </rPh>
    <rPh sb="21" eb="23">
      <t>キカン</t>
    </rPh>
    <rPh sb="24" eb="26">
      <t>ゾクセイ</t>
    </rPh>
    <rPh sb="26" eb="27">
      <t>ベツ</t>
    </rPh>
    <rPh sb="27" eb="29">
      <t>ニンズウ</t>
    </rPh>
    <phoneticPr fontId="14"/>
  </si>
  <si>
    <t>JST支援金による招へい者人数</t>
    <rPh sb="3" eb="6">
      <t>シエンキン</t>
    </rPh>
    <rPh sb="9" eb="10">
      <t>ショウ</t>
    </rPh>
    <rPh sb="12" eb="13">
      <t>シャ</t>
    </rPh>
    <rPh sb="13" eb="15">
      <t>ニンズウ</t>
    </rPh>
    <phoneticPr fontId="14"/>
  </si>
  <si>
    <t>※簡潔に２、３行程度にまとめて記入してください。</t>
    <phoneticPr fontId="14"/>
  </si>
  <si>
    <t>(氏名、電話番号)</t>
    <rPh sb="1" eb="3">
      <t>シメイ</t>
    </rPh>
    <phoneticPr fontId="14"/>
  </si>
  <si>
    <r>
      <rPr>
        <sz val="9"/>
        <color theme="1"/>
        <rFont val="Meiryo UI"/>
        <family val="3"/>
        <charset val="128"/>
      </rPr>
      <t>一般管理費（JST支援金事業費の10%以内）</t>
    </r>
    <r>
      <rPr>
        <sz val="7"/>
        <color theme="1"/>
        <rFont val="Meiryo UI"/>
        <family val="3"/>
        <charset val="128"/>
      </rPr>
      <t xml:space="preserve">
※計上しない場合には「0」と記入(未記入の場合は原則0円と扱う)。</t>
    </r>
    <rPh sb="0" eb="2">
      <t>イッパン</t>
    </rPh>
    <rPh sb="2" eb="5">
      <t>カンリヒ</t>
    </rPh>
    <rPh sb="9" eb="12">
      <t>シエンキン</t>
    </rPh>
    <rPh sb="12" eb="15">
      <t>ジギョウヒ</t>
    </rPh>
    <rPh sb="19" eb="21">
      <t>イナイ</t>
    </rPh>
    <rPh sb="37" eb="39">
      <t>キニュウ</t>
    </rPh>
    <rPh sb="41" eb="43">
      <t>キニュウ</t>
    </rPh>
    <phoneticPr fontId="14"/>
  </si>
  <si>
    <t>※各コースの「目的・内容」を踏まえて、提案する交流計画の背景、目的、効果、実施後の展開を記入してください。</t>
    <phoneticPr fontId="14"/>
  </si>
  <si>
    <r>
      <rPr>
        <sz val="10"/>
        <color rgb="FFFF0000"/>
        <rFont val="Meiryo UI"/>
        <family val="3"/>
        <charset val="128"/>
      </rPr>
      <t>【プログラム経費追加費用を申請する場合は必須】</t>
    </r>
    <r>
      <rPr>
        <sz val="10"/>
        <rFont val="Meiryo UI"/>
        <family val="3"/>
        <charset val="128"/>
      </rPr>
      <t>追加費用による取り組みの詳細</t>
    </r>
    <rPh sb="6" eb="8">
      <t>ケイヒ</t>
    </rPh>
    <rPh sb="8" eb="10">
      <t>ツイカ</t>
    </rPh>
    <rPh sb="10" eb="12">
      <t>ヒヨウ</t>
    </rPh>
    <rPh sb="13" eb="15">
      <t>シンセイ</t>
    </rPh>
    <rPh sb="17" eb="19">
      <t>バアイ</t>
    </rPh>
    <rPh sb="23" eb="25">
      <t>ツイカ</t>
    </rPh>
    <rPh sb="25" eb="27">
      <t>ヒヨウ</t>
    </rPh>
    <rPh sb="30" eb="31">
      <t>ト</t>
    </rPh>
    <rPh sb="32" eb="33">
      <t>ク</t>
    </rPh>
    <rPh sb="35" eb="37">
      <t>ショウサイ</t>
    </rPh>
    <phoneticPr fontId="22"/>
  </si>
  <si>
    <t>(連絡担当者　受入れ機関名より下位の部署名)</t>
    <rPh sb="15" eb="17">
      <t>カイ</t>
    </rPh>
    <phoneticPr fontId="14"/>
  </si>
  <si>
    <t>(事務担当者　受入れ機関名より下位の部署名)</t>
    <rPh sb="15" eb="17">
      <t>カイ</t>
    </rPh>
    <phoneticPr fontId="14"/>
  </si>
  <si>
    <t>(実施責任者　契約法人名より下位の部署名・役職名)</t>
    <phoneticPr fontId="14"/>
  </si>
  <si>
    <t>※選考基準を参照の上、交流計画の目的や趣旨を記入してください。選考基準に記載された事項以外の目的を盛り込むことも可能です。</t>
    <rPh sb="31" eb="33">
      <t>センコウ</t>
    </rPh>
    <phoneticPr fontId="14"/>
  </si>
  <si>
    <t>（参考）国税庁法人番号公表サイト</t>
    <phoneticPr fontId="14"/>
  </si>
  <si>
    <r>
      <t xml:space="preserve">実施担当者
</t>
    </r>
    <r>
      <rPr>
        <sz val="7.5"/>
        <color theme="1"/>
        <rFont val="Meiryo UI"/>
        <family val="3"/>
        <charset val="128"/>
      </rPr>
      <t>(JSTと連絡調整を行う担当者)</t>
    </r>
    <rPh sb="0" eb="2">
      <t>ジッシ</t>
    </rPh>
    <rPh sb="2" eb="5">
      <t>タントウシャ</t>
    </rPh>
    <rPh sb="18" eb="21">
      <t>タントウシャ</t>
    </rPh>
    <phoneticPr fontId="14"/>
  </si>
  <si>
    <t>当日連絡先</t>
    <rPh sb="0" eb="2">
      <t>トウジツ</t>
    </rPh>
    <rPh sb="2" eb="5">
      <t>レンラクサキ</t>
    </rPh>
    <phoneticPr fontId="14"/>
  </si>
  <si>
    <r>
      <rPr>
        <sz val="10"/>
        <color rgb="FFFF0000"/>
        <rFont val="Meiryo UI"/>
        <family val="3"/>
        <charset val="128"/>
      </rPr>
      <t>【必須】</t>
    </r>
    <r>
      <rPr>
        <sz val="10"/>
        <rFont val="Meiryo UI"/>
        <family val="3"/>
        <charset val="128"/>
      </rPr>
      <t>招へい期間</t>
    </r>
    <r>
      <rPr>
        <sz val="8"/>
        <rFont val="Meiryo UI"/>
        <family val="3"/>
        <charset val="128"/>
      </rPr>
      <t>（日本入国日～出国日）</t>
    </r>
    <rPh sb="1" eb="3">
      <t>ヒッス</t>
    </rPh>
    <rPh sb="4" eb="5">
      <t>ショウ</t>
    </rPh>
    <rPh sb="7" eb="9">
      <t>キカン</t>
    </rPh>
    <rPh sb="8" eb="9">
      <t>テイキ</t>
    </rPh>
    <phoneticPr fontId="14"/>
  </si>
  <si>
    <t>アイスランド</t>
  </si>
  <si>
    <t>アイルランド</t>
  </si>
  <si>
    <t>アゼルバイジャン</t>
  </si>
  <si>
    <t>アフガニスタン</t>
  </si>
  <si>
    <t>アメリカガッシュウコク</t>
  </si>
  <si>
    <t>アラブシュチョウコクレンポウ</t>
  </si>
  <si>
    <t>アラブ首長国連邦</t>
  </si>
  <si>
    <t>アルジェリア</t>
  </si>
  <si>
    <t>アルゼンチン</t>
  </si>
  <si>
    <t>アルバニア</t>
  </si>
  <si>
    <t>アルメニア</t>
  </si>
  <si>
    <t>アンゴラ</t>
  </si>
  <si>
    <t>アンティグア・バーブーダ</t>
  </si>
  <si>
    <t>アンドラ</t>
  </si>
  <si>
    <t>イエメン</t>
  </si>
  <si>
    <t>イスラエル</t>
  </si>
  <si>
    <t>イタリア</t>
  </si>
  <si>
    <t>イラク</t>
  </si>
  <si>
    <t>イラン</t>
  </si>
  <si>
    <t>インド</t>
  </si>
  <si>
    <t>インドネシア</t>
  </si>
  <si>
    <t>ウガンダ</t>
  </si>
  <si>
    <t>ウクライナ</t>
  </si>
  <si>
    <t>ウズベキスタン</t>
  </si>
  <si>
    <t>ウルグアイ</t>
  </si>
  <si>
    <t>エイコク</t>
  </si>
  <si>
    <t>英国</t>
  </si>
  <si>
    <t>エクアドル</t>
  </si>
  <si>
    <t>エジプト</t>
  </si>
  <si>
    <t>エストニア</t>
  </si>
  <si>
    <t>エスワティニ</t>
  </si>
  <si>
    <t>エチオピア</t>
  </si>
  <si>
    <t>エリトリア</t>
  </si>
  <si>
    <t>エルサルバドル</t>
  </si>
  <si>
    <t>オーストラリア</t>
  </si>
  <si>
    <t>オーストリア</t>
  </si>
  <si>
    <t>オマーン</t>
  </si>
  <si>
    <t>オランダ</t>
  </si>
  <si>
    <t>ガーナ</t>
  </si>
  <si>
    <t>カーボベルデ</t>
  </si>
  <si>
    <t>ガイアナ</t>
  </si>
  <si>
    <t>カザフスタン</t>
  </si>
  <si>
    <t>カタール</t>
  </si>
  <si>
    <t>カナダ</t>
  </si>
  <si>
    <t>ガボン</t>
  </si>
  <si>
    <t>カメルーン</t>
  </si>
  <si>
    <t>ガンビア</t>
  </si>
  <si>
    <t>カンボジア</t>
  </si>
  <si>
    <t>キタマケドニア</t>
  </si>
  <si>
    <t>北マケドニア</t>
  </si>
  <si>
    <t>ギニア</t>
  </si>
  <si>
    <t>ギニアビサウ</t>
  </si>
  <si>
    <t>キプロス</t>
  </si>
  <si>
    <t>キューバ</t>
  </si>
  <si>
    <t>ギリシャ</t>
  </si>
  <si>
    <t>キリバス</t>
  </si>
  <si>
    <t>キルギス</t>
  </si>
  <si>
    <t>グアテマラ</t>
  </si>
  <si>
    <t>クウェート</t>
  </si>
  <si>
    <t>クック諸島</t>
  </si>
  <si>
    <t>グレナダ</t>
  </si>
  <si>
    <t>クロアチア</t>
  </si>
  <si>
    <t>ケニア</t>
  </si>
  <si>
    <t>コートジボワール</t>
  </si>
  <si>
    <t>コスタリカ</t>
  </si>
  <si>
    <t>コソボ</t>
  </si>
  <si>
    <t>コモロ</t>
  </si>
  <si>
    <t>コロンビア</t>
  </si>
  <si>
    <t>コンゴキョウワコク</t>
  </si>
  <si>
    <t>コンゴ共和国</t>
  </si>
  <si>
    <t>コンゴミンシュキョウワコク</t>
  </si>
  <si>
    <t>コンゴ民主共和国</t>
  </si>
  <si>
    <t>サウジアラビア</t>
  </si>
  <si>
    <t>サモア</t>
  </si>
  <si>
    <t>サントメ・プリンシペ</t>
  </si>
  <si>
    <t>ザンビア</t>
  </si>
  <si>
    <t>サンマリノ</t>
  </si>
  <si>
    <t>シエラレオネ</t>
  </si>
  <si>
    <t>ジブチ</t>
  </si>
  <si>
    <t>ジャマイカ</t>
  </si>
  <si>
    <t>ジョージア</t>
  </si>
  <si>
    <t>シリア</t>
  </si>
  <si>
    <t>シンガポール</t>
  </si>
  <si>
    <t>ジンバブエ</t>
  </si>
  <si>
    <t>スイス</t>
  </si>
  <si>
    <t>スウェーデン</t>
  </si>
  <si>
    <t>スーダン</t>
  </si>
  <si>
    <t>スペイン</t>
  </si>
  <si>
    <t>スリナム</t>
  </si>
  <si>
    <t>スリランカ</t>
  </si>
  <si>
    <t>スロバキア</t>
  </si>
  <si>
    <t>スロベニア</t>
  </si>
  <si>
    <t>セーシェル</t>
  </si>
  <si>
    <t>セキドウギニア</t>
  </si>
  <si>
    <t>赤道ギニア</t>
  </si>
  <si>
    <t>セネガル</t>
  </si>
  <si>
    <t>セルビア</t>
  </si>
  <si>
    <t>セントクリストファー・ネービス</t>
  </si>
  <si>
    <t>セントルシア</t>
  </si>
  <si>
    <t>ソマリア</t>
  </si>
  <si>
    <t>タイ</t>
  </si>
  <si>
    <t>タイワン</t>
  </si>
  <si>
    <t>タジキスタン</t>
  </si>
  <si>
    <t>タンザニア</t>
  </si>
  <si>
    <t>チェコ</t>
  </si>
  <si>
    <t>チャド</t>
  </si>
  <si>
    <t>チュニジア</t>
  </si>
  <si>
    <t>チリ</t>
  </si>
  <si>
    <t>ツバル</t>
  </si>
  <si>
    <t>デンマーク</t>
  </si>
  <si>
    <t>ドイツ</t>
  </si>
  <si>
    <t>トーゴ</t>
  </si>
  <si>
    <t>ドミニカ国</t>
  </si>
  <si>
    <t>ドミニカキョウワコク</t>
  </si>
  <si>
    <t>ドミニカ共和国</t>
  </si>
  <si>
    <t>トリニダード・トバゴ</t>
  </si>
  <si>
    <t>トルコ</t>
  </si>
  <si>
    <t>トンガ</t>
  </si>
  <si>
    <t>ナイジェリア</t>
  </si>
  <si>
    <t>ナウル</t>
  </si>
  <si>
    <t>ナミビア</t>
  </si>
  <si>
    <t>ニウエ</t>
  </si>
  <si>
    <t>ニカラグア</t>
  </si>
  <si>
    <t>ニジェール</t>
  </si>
  <si>
    <t>ニュージーランド</t>
  </si>
  <si>
    <t>ネパール</t>
  </si>
  <si>
    <t>ノルウェー</t>
  </si>
  <si>
    <t>バーレーン</t>
  </si>
  <si>
    <t>ハイチ</t>
  </si>
  <si>
    <t>パキスタン</t>
  </si>
  <si>
    <t>バチカン</t>
  </si>
  <si>
    <t>パナマ</t>
  </si>
  <si>
    <t>バヌアツ</t>
  </si>
  <si>
    <t>バハマ</t>
  </si>
  <si>
    <t>パプアニューギニア</t>
  </si>
  <si>
    <t>パラオ</t>
  </si>
  <si>
    <t>パラグアイ</t>
  </si>
  <si>
    <t>バルバドス</t>
  </si>
  <si>
    <t>ハンガリー</t>
  </si>
  <si>
    <t>バングラデシュ</t>
  </si>
  <si>
    <t>ヒガシティモール</t>
  </si>
  <si>
    <t>東ティモール</t>
  </si>
  <si>
    <t>フィジー</t>
  </si>
  <si>
    <t>フィリピン</t>
  </si>
  <si>
    <t>フィンランド</t>
  </si>
  <si>
    <t>ブータン</t>
  </si>
  <si>
    <t>ブラジル</t>
  </si>
  <si>
    <t>フランス</t>
  </si>
  <si>
    <t>ブルガリア</t>
  </si>
  <si>
    <t>ブルキナファソ</t>
  </si>
  <si>
    <t>ブルネイ</t>
  </si>
  <si>
    <t>ブルンジ</t>
  </si>
  <si>
    <t>ベトナム</t>
  </si>
  <si>
    <t>ベナン</t>
  </si>
  <si>
    <t>ベネズエラ</t>
  </si>
  <si>
    <t>ベラルーシ</t>
  </si>
  <si>
    <t>ベリーズ</t>
  </si>
  <si>
    <t>ペルー</t>
  </si>
  <si>
    <t>ベルギー</t>
  </si>
  <si>
    <t>ポーランド</t>
  </si>
  <si>
    <t>ボスニア・ヘルツェゴビナ</t>
  </si>
  <si>
    <t>ボツワナ</t>
  </si>
  <si>
    <t>ボリビア</t>
  </si>
  <si>
    <t>ポルトガル</t>
  </si>
  <si>
    <t>ホンジュラス</t>
  </si>
  <si>
    <t>マーシャル</t>
  </si>
  <si>
    <t>マダガスカル</t>
  </si>
  <si>
    <t>マラウイ</t>
  </si>
  <si>
    <t>マリ</t>
  </si>
  <si>
    <t>マルタ</t>
  </si>
  <si>
    <t>ミクロネシア</t>
  </si>
  <si>
    <t>ミナミアフリカキョウワコク</t>
  </si>
  <si>
    <t>ミナミスーダン</t>
  </si>
  <si>
    <t>南スーダン</t>
  </si>
  <si>
    <t>ミャンマー</t>
  </si>
  <si>
    <t>メキシコ</t>
  </si>
  <si>
    <t>モーリシャス</t>
  </si>
  <si>
    <t>モーリタニア</t>
  </si>
  <si>
    <t>モザンビーク</t>
  </si>
  <si>
    <t>モナコ</t>
  </si>
  <si>
    <t>モルディブ</t>
  </si>
  <si>
    <t>モルドバ</t>
  </si>
  <si>
    <t>モロッコ</t>
  </si>
  <si>
    <t>モンゴル</t>
  </si>
  <si>
    <t>モンテネグロ</t>
  </si>
  <si>
    <t>ヨルダン</t>
  </si>
  <si>
    <t>ラオス</t>
  </si>
  <si>
    <t>ラトビア</t>
  </si>
  <si>
    <t>リトアニア</t>
  </si>
  <si>
    <t>リビア</t>
  </si>
  <si>
    <t>リヒテンシュタイン</t>
  </si>
  <si>
    <t>リベリア</t>
  </si>
  <si>
    <t>ルーマニア</t>
  </si>
  <si>
    <t>ルクセンブルク</t>
  </si>
  <si>
    <t>ルワンダ</t>
  </si>
  <si>
    <t>レソト</t>
  </si>
  <si>
    <t>レバノン</t>
  </si>
  <si>
    <t>ロシア</t>
  </si>
  <si>
    <t>フリガナ</t>
    <phoneticPr fontId="14"/>
  </si>
  <si>
    <r>
      <t>招へい者の
学部・部署</t>
    </r>
    <r>
      <rPr>
        <sz val="7.5"/>
        <color theme="1"/>
        <rFont val="Meiryo UI"/>
        <family val="3"/>
        <charset val="128"/>
      </rPr>
      <t>※複数可</t>
    </r>
    <rPh sb="0" eb="1">
      <t>ショウ</t>
    </rPh>
    <rPh sb="3" eb="4">
      <t>シャ</t>
    </rPh>
    <rPh sb="6" eb="8">
      <t>ガクブ</t>
    </rPh>
    <rPh sb="9" eb="11">
      <t>ブショ</t>
    </rPh>
    <phoneticPr fontId="14"/>
  </si>
  <si>
    <t xml:space="preserve">
７）経費概算見積書：国別渡航費</t>
    <phoneticPr fontId="14"/>
  </si>
  <si>
    <t>#1</t>
    <phoneticPr fontId="14"/>
  </si>
  <si>
    <t>#3</t>
  </si>
  <si>
    <t>#5</t>
  </si>
  <si>
    <t>#7</t>
  </si>
  <si>
    <t>#9</t>
  </si>
  <si>
    <t>#11</t>
  </si>
  <si>
    <t>#12</t>
  </si>
  <si>
    <t>#14</t>
  </si>
  <si>
    <t>JST支援</t>
    <rPh sb="3" eb="5">
      <t>シエン</t>
    </rPh>
    <phoneticPr fontId="14"/>
  </si>
  <si>
    <t>自己資金</t>
    <rPh sb="0" eb="2">
      <t>ジコ</t>
    </rPh>
    <rPh sb="2" eb="4">
      <t>シキン</t>
    </rPh>
    <phoneticPr fontId="14"/>
  </si>
  <si>
    <t>大学院生</t>
    <rPh sb="0" eb="2">
      <t>ダイガク</t>
    </rPh>
    <rPh sb="2" eb="4">
      <t>インセイ</t>
    </rPh>
    <phoneticPr fontId="14"/>
  </si>
  <si>
    <t>ポスドク</t>
  </si>
  <si>
    <t>合計</t>
  </si>
  <si>
    <t>以下自己資金招へい者</t>
    <rPh sb="0" eb="2">
      <t>イカ</t>
    </rPh>
    <rPh sb="2" eb="4">
      <t>ジコ</t>
    </rPh>
    <rPh sb="4" eb="6">
      <t>シキン</t>
    </rPh>
    <rPh sb="6" eb="7">
      <t>ショウ</t>
    </rPh>
    <rPh sb="9" eb="10">
      <t>シャ</t>
    </rPh>
    <phoneticPr fontId="14"/>
  </si>
  <si>
    <t>※自己資金招へい者の有無を選択してください （ありの場合は以下に記入）</t>
  </si>
  <si>
    <t>※自己資金招へい者は枝番「＃1」以降に記載してください。</t>
    <rPh sb="1" eb="3">
      <t>ジコ</t>
    </rPh>
    <rPh sb="3" eb="5">
      <t>シキン</t>
    </rPh>
    <rPh sb="5" eb="6">
      <t>ショウ</t>
    </rPh>
    <rPh sb="8" eb="9">
      <t>シャ</t>
    </rPh>
    <rPh sb="10" eb="12">
      <t>エダバン</t>
    </rPh>
    <rPh sb="16" eb="18">
      <t>イコウ</t>
    </rPh>
    <rPh sb="19" eb="21">
      <t>キサイ</t>
    </rPh>
    <phoneticPr fontId="14"/>
  </si>
  <si>
    <t>カンコク</t>
  </si>
  <si>
    <t>クックショトウ</t>
  </si>
  <si>
    <t>セントビンセントオヨビグレナディーンショトウ</t>
  </si>
  <si>
    <t>ソロモンショトウ</t>
  </si>
  <si>
    <t>チュウオウアフリカキョウワコク</t>
  </si>
  <si>
    <t>チュウゴク</t>
  </si>
  <si>
    <t>ドミニカコク</t>
  </si>
  <si>
    <t>アメリカ合衆国</t>
    <rPh sb="4" eb="7">
      <t>ガッシュウコク</t>
    </rPh>
    <phoneticPr fontId="4"/>
  </si>
  <si>
    <t>韓国</t>
  </si>
  <si>
    <t>セントビンセントおよびグレナディーン諸島</t>
  </si>
  <si>
    <t>台湾</t>
  </si>
  <si>
    <t>中央アフリカ共和国</t>
    <rPh sb="6" eb="9">
      <t>キョウワコク</t>
    </rPh>
    <phoneticPr fontId="4"/>
  </si>
  <si>
    <t>中国</t>
  </si>
  <si>
    <t>南アフリカ共和国</t>
    <rPh sb="5" eb="8">
      <t>キョウワコク</t>
    </rPh>
    <phoneticPr fontId="4"/>
  </si>
  <si>
    <t>上記以外の高等専門学校</t>
    <rPh sb="0" eb="2">
      <t>ジョウキ</t>
    </rPh>
    <phoneticPr fontId="14"/>
  </si>
  <si>
    <t>パレスチナ</t>
    <phoneticPr fontId="14"/>
  </si>
  <si>
    <t>※地域を選択</t>
  </si>
  <si>
    <t>202●/●/●</t>
    <phoneticPr fontId="14"/>
  </si>
  <si>
    <t>※交流計画の実施によって、招へい者による日本への留学、就職、共同研究等のための再来日や、招へい者と日本の教育研究機関との継続的な交流や国際的頭脳循環が促進されることについて記入してください（上記欄の記載内容と重複してもかまいません）。</t>
    <phoneticPr fontId="14"/>
  </si>
  <si>
    <r>
      <rPr>
        <b/>
        <sz val="10"/>
        <color theme="1"/>
        <rFont val="Meiryo UI"/>
        <family val="3"/>
        <charset val="128"/>
      </rPr>
      <t>【招へい単価】</t>
    </r>
    <r>
      <rPr>
        <b/>
        <sz val="10"/>
        <color rgb="FFFF0000"/>
        <rFont val="Meiryo UI"/>
        <family val="3"/>
        <charset val="128"/>
      </rPr>
      <t>※原則20,000円以下</t>
    </r>
    <r>
      <rPr>
        <b/>
        <sz val="10"/>
        <color theme="1"/>
        <rFont val="Meiryo UI"/>
        <family val="3"/>
        <charset val="128"/>
      </rPr>
      <t xml:space="preserve">
</t>
    </r>
    <r>
      <rPr>
        <sz val="8"/>
        <color theme="1"/>
        <rFont val="Meiryo UI"/>
        <family val="3"/>
        <charset val="128"/>
      </rPr>
      <t>（渡航費及び消費税相当額を除くJST支援金総計
÷受入れ人数÷受入れ日数）</t>
    </r>
    <rPh sb="1" eb="2">
      <t>ショウ</t>
    </rPh>
    <rPh sb="4" eb="6">
      <t>タンカ</t>
    </rPh>
    <rPh sb="21" eb="24">
      <t>トコウヒ</t>
    </rPh>
    <rPh sb="24" eb="25">
      <t>オヨ</t>
    </rPh>
    <rPh sb="26" eb="29">
      <t>ショウヒゼイ</t>
    </rPh>
    <rPh sb="29" eb="31">
      <t>ソウトウ</t>
    </rPh>
    <rPh sb="31" eb="32">
      <t>ガク</t>
    </rPh>
    <rPh sb="33" eb="34">
      <t>ノゾ</t>
    </rPh>
    <rPh sb="38" eb="41">
      <t>シエンキン</t>
    </rPh>
    <rPh sb="41" eb="43">
      <t>ソウケイ</t>
    </rPh>
    <rPh sb="45" eb="46">
      <t>ウ</t>
    </rPh>
    <rPh sb="46" eb="47">
      <t>イ</t>
    </rPh>
    <rPh sb="48" eb="50">
      <t>ニンズウ</t>
    </rPh>
    <rPh sb="51" eb="52">
      <t>ウ</t>
    </rPh>
    <rPh sb="52" eb="53">
      <t>イ</t>
    </rPh>
    <rPh sb="54" eb="56">
      <t>ニッスウ</t>
    </rPh>
    <phoneticPr fontId="14"/>
  </si>
  <si>
    <r>
      <rPr>
        <sz val="10"/>
        <color rgb="FFFF0000"/>
        <rFont val="Meiryo UI"/>
        <family val="3"/>
        <charset val="128"/>
      </rPr>
      <t>【必須】</t>
    </r>
    <r>
      <rPr>
        <sz val="10"/>
        <color theme="1"/>
        <rFont val="Meiryo UI"/>
        <family val="3"/>
        <charset val="128"/>
      </rPr>
      <t>(2)科学技術イノベーションに貢献しうる優秀な人材の養成・確保や国際的頭脳循環の促進について</t>
    </r>
    <phoneticPr fontId="14"/>
  </si>
  <si>
    <r>
      <rPr>
        <sz val="10"/>
        <color rgb="FFFF0000"/>
        <rFont val="Meiryo UI"/>
        <family val="3"/>
        <charset val="128"/>
      </rPr>
      <t xml:space="preserve">【受入れ機関が教育研究機関（大学、高専、高校または公的研究機関）の場合のみ必須】
</t>
    </r>
    <r>
      <rPr>
        <sz val="10"/>
        <rFont val="Meiryo UI"/>
        <family val="3"/>
        <charset val="128"/>
      </rPr>
      <t>(3)日本と諸外国・地域の教育研究機関間の継続的連携・協力・交流の促進（グローバル化の促進）</t>
    </r>
    <rPh sb="14" eb="16">
      <t>ダイガク</t>
    </rPh>
    <rPh sb="17" eb="19">
      <t>コウセン</t>
    </rPh>
    <rPh sb="20" eb="22">
      <t>コウコウ</t>
    </rPh>
    <rPh sb="25" eb="27">
      <t>コウテキ</t>
    </rPh>
    <rPh sb="27" eb="29">
      <t>ケンキュウ</t>
    </rPh>
    <rPh sb="29" eb="31">
      <t>キカン</t>
    </rPh>
    <rPh sb="37" eb="39">
      <t>ヒッス</t>
    </rPh>
    <phoneticPr fontId="14"/>
  </si>
  <si>
    <r>
      <rPr>
        <sz val="10"/>
        <color rgb="FFFF0000"/>
        <rFont val="Meiryo UI"/>
        <family val="3"/>
        <charset val="128"/>
      </rPr>
      <t>【オンライン交流を実施する場合は必須】</t>
    </r>
    <r>
      <rPr>
        <sz val="10"/>
        <rFont val="Meiryo UI"/>
        <family val="3"/>
        <charset val="128"/>
      </rPr>
      <t>招へい前後に実施するオ</t>
    </r>
    <r>
      <rPr>
        <sz val="10"/>
        <color theme="1"/>
        <rFont val="Meiryo UI"/>
        <family val="3"/>
        <charset val="128"/>
      </rPr>
      <t>ンライン交流の実施内容</t>
    </r>
    <rPh sb="19" eb="20">
      <t>ショウ</t>
    </rPh>
    <rPh sb="22" eb="24">
      <t>ゼンゴ</t>
    </rPh>
    <rPh sb="25" eb="27">
      <t>ジッシ</t>
    </rPh>
    <rPh sb="34" eb="36">
      <t>コウリュウ</t>
    </rPh>
    <rPh sb="37" eb="39">
      <t>ジッシ</t>
    </rPh>
    <rPh sb="39" eb="41">
      <t>ナイヨウ</t>
    </rPh>
    <phoneticPr fontId="14"/>
  </si>
  <si>
    <r>
      <rPr>
        <sz val="10"/>
        <color rgb="FFFF0000"/>
        <rFont val="Meiryo UI"/>
        <family val="3"/>
        <charset val="128"/>
      </rPr>
      <t>【オンライン交流を実施する場合は必須】</t>
    </r>
    <r>
      <rPr>
        <sz val="10"/>
        <color theme="1"/>
        <rFont val="Meiryo UI"/>
        <family val="3"/>
        <charset val="128"/>
      </rPr>
      <t>招へい前後に実施するオンライン交流の実施内容</t>
    </r>
    <rPh sb="19" eb="20">
      <t>ショウ</t>
    </rPh>
    <rPh sb="22" eb="24">
      <t>ゼンゴ</t>
    </rPh>
    <rPh sb="25" eb="27">
      <t>ジッシ</t>
    </rPh>
    <rPh sb="34" eb="36">
      <t>コウリュウ</t>
    </rPh>
    <rPh sb="37" eb="39">
      <t>ジッシ</t>
    </rPh>
    <rPh sb="39" eb="41">
      <t>ナイヨウ</t>
    </rPh>
    <phoneticPr fontId="14"/>
  </si>
  <si>
    <r>
      <rPr>
        <sz val="10"/>
        <color rgb="FFFF0000"/>
        <rFont val="Meiryo UI"/>
        <family val="3"/>
        <charset val="128"/>
      </rPr>
      <t>【必須】</t>
    </r>
    <r>
      <rPr>
        <sz val="10"/>
        <rFont val="Meiryo UI"/>
        <family val="3"/>
        <charset val="128"/>
      </rPr>
      <t>(3)来日・帰</t>
    </r>
    <r>
      <rPr>
        <sz val="10"/>
        <color theme="1"/>
        <rFont val="Meiryo UI"/>
        <family val="3"/>
        <charset val="128"/>
      </rPr>
      <t>国時の支援　</t>
    </r>
    <r>
      <rPr>
        <sz val="9"/>
        <color theme="1"/>
        <rFont val="Meiryo UI"/>
        <family val="2"/>
        <charset val="128"/>
      </rPr>
      <t>※入国時オリエンテーションおよび出国見送りについて記入してください。</t>
    </r>
    <r>
      <rPr>
        <b/>
        <u/>
        <sz val="9"/>
        <color theme="1"/>
        <rFont val="Meiryo UI"/>
        <family val="3"/>
        <charset val="128"/>
      </rPr>
      <t>出国空港までの見送りは必須です。</t>
    </r>
    <rPh sb="7" eb="9">
      <t>ライニチ</t>
    </rPh>
    <rPh sb="10" eb="13">
      <t>キコクジ</t>
    </rPh>
    <rPh sb="14" eb="16">
      <t>シエン</t>
    </rPh>
    <rPh sb="51" eb="53">
      <t>シュッコク</t>
    </rPh>
    <rPh sb="53" eb="55">
      <t>クウコウ</t>
    </rPh>
    <rPh sb="58" eb="60">
      <t>ミオク</t>
    </rPh>
    <rPh sb="62" eb="64">
      <t>ヒッス</t>
    </rPh>
    <phoneticPr fontId="14"/>
  </si>
  <si>
    <r>
      <rPr>
        <sz val="8"/>
        <color rgb="FFFF0000"/>
        <rFont val="Meiryo UI"/>
        <family val="3"/>
        <charset val="128"/>
      </rPr>
      <t>【必須】</t>
    </r>
    <r>
      <rPr>
        <sz val="10"/>
        <color theme="1"/>
        <rFont val="Meiryo UI"/>
        <family val="3"/>
        <charset val="128"/>
      </rPr>
      <t>(2)緊急時の対応手順・連絡体制　</t>
    </r>
    <r>
      <rPr>
        <sz val="9"/>
        <color theme="1"/>
        <rFont val="Meiryo UI"/>
        <family val="3"/>
        <charset val="128"/>
      </rPr>
      <t>※災害、ケガなどの緊急時対応を記入してください。</t>
    </r>
    <rPh sb="7" eb="10">
      <t>キンキュウジ</t>
    </rPh>
    <rPh sb="11" eb="13">
      <t>タイオウ</t>
    </rPh>
    <rPh sb="13" eb="15">
      <t>テジュン</t>
    </rPh>
    <rPh sb="16" eb="18">
      <t>レンラク</t>
    </rPh>
    <rPh sb="18" eb="20">
      <t>タイセイ</t>
    </rPh>
    <rPh sb="36" eb="38">
      <t>キニュウ</t>
    </rPh>
    <phoneticPr fontId="14"/>
  </si>
  <si>
    <r>
      <t>【任意】共同実施者　</t>
    </r>
    <r>
      <rPr>
        <sz val="9"/>
        <color theme="1"/>
        <rFont val="Meiryo UI"/>
        <family val="3"/>
        <charset val="128"/>
      </rPr>
      <t>※交流計画を共同で実施する他の機関の担当者について特に明示したい場合には、機関名、役職、氏名などを記入してください。</t>
    </r>
    <phoneticPr fontId="14"/>
  </si>
  <si>
    <r>
      <rPr>
        <sz val="10"/>
        <color rgb="FFFF0000"/>
        <rFont val="Meiryo UI"/>
        <family val="3"/>
        <charset val="128"/>
      </rPr>
      <t>【必須】</t>
    </r>
    <r>
      <rPr>
        <sz val="9"/>
        <rFont val="Meiryo UI"/>
        <family val="3"/>
        <charset val="128"/>
      </rPr>
      <t>招へい前後に実施するオンライン交流の有無</t>
    </r>
    <r>
      <rPr>
        <sz val="8"/>
        <rFont val="Meiryo UI"/>
        <family val="3"/>
        <charset val="128"/>
      </rPr>
      <t xml:space="preserve">
　実施する場合は実施日程（開始日～終了日）</t>
    </r>
    <rPh sb="1" eb="3">
      <t>ヒッス</t>
    </rPh>
    <rPh sb="4" eb="5">
      <t>ショウ</t>
    </rPh>
    <rPh sb="7" eb="9">
      <t>ゼンゴ</t>
    </rPh>
    <rPh sb="10" eb="12">
      <t>ジッシ</t>
    </rPh>
    <rPh sb="22" eb="24">
      <t>ウム</t>
    </rPh>
    <rPh sb="26" eb="28">
      <t>ジッシ</t>
    </rPh>
    <rPh sb="30" eb="32">
      <t>バアイ</t>
    </rPh>
    <rPh sb="33" eb="35">
      <t>ジッシ</t>
    </rPh>
    <rPh sb="35" eb="37">
      <t>ニッテイ</t>
    </rPh>
    <phoneticPr fontId="14"/>
  </si>
  <si>
    <t>※費用を要する実験または技術研修、招へい前後に実施するオンライン交流の詳細な内容および交流計画における重要性・効果を記入してください。</t>
    <rPh sb="17" eb="18">
      <t>ショウ</t>
    </rPh>
    <rPh sb="20" eb="22">
      <t>ゼンゴ</t>
    </rPh>
    <rPh sb="23" eb="25">
      <t>ジッシ</t>
    </rPh>
    <rPh sb="32" eb="34">
      <t>コウリュウ</t>
    </rPh>
    <phoneticPr fontId="22"/>
  </si>
  <si>
    <t>（交流計画の目的、趣旨を記入してください）</t>
    <rPh sb="1" eb="3">
      <t>コウリュウ</t>
    </rPh>
    <rPh sb="3" eb="5">
      <t>ケイカク</t>
    </rPh>
    <rPh sb="6" eb="8">
      <t>モクテキ</t>
    </rPh>
    <rPh sb="9" eb="11">
      <t>シュシ</t>
    </rPh>
    <rPh sb="12" eb="14">
      <t>キニュウ</t>
    </rPh>
    <phoneticPr fontId="14"/>
  </si>
  <si>
    <r>
      <t xml:space="preserve">その他
</t>
    </r>
    <r>
      <rPr>
        <sz val="7.5"/>
        <color theme="1"/>
        <rFont val="Meiryo UI"/>
        <family val="3"/>
        <charset val="128"/>
      </rPr>
      <t xml:space="preserve">(必須の消耗品、専用会場や招へい前後に実施するオンライン交流ツール使用料、配付資料や映像などの製作費、外注費） </t>
    </r>
    <r>
      <rPr>
        <sz val="9"/>
        <color theme="1"/>
        <rFont val="Meiryo UI"/>
        <family val="3"/>
        <charset val="128"/>
      </rPr>
      <t xml:space="preserve">
</t>
    </r>
    <phoneticPr fontId="14"/>
  </si>
  <si>
    <t>※交流計画の実施を契機として、日本と海外の教育研究機関間の継続的連携・協力・交流の促進（グローバル化の促進）につながることを期待します。たとえば、外国語で学位取得に必要な単位を取得できる体制、外国と容易に共同研究等を行える体制の構築、具体的な取り組みを伴う協定の締結・強化などが促進されることについて記入してください（上記欄の記載内容と重複してもかまいません）。
※受入れ機関において日本の学生(特に女性)などが関与し、交流が活性化するとともに、国際的な取り組みに一層の関心を寄せることが期待される場合、その内容を具体的に記入してください。</t>
    <phoneticPr fontId="14"/>
  </si>
  <si>
    <t>招へい時の交流を一層効果的なものとするため、○○に関するオンライン講義を行い、今後の共同研究に関するディスカッションをオンラインにて実施する。
●月●日AM　来日時の取り組み内容の事前説明
●月●日PM　○○に関するオンライン講義（□□大学●●教授）
○月○日　招へい者による今後の共同研究に関するディスカッション</t>
    <phoneticPr fontId="14"/>
  </si>
  <si>
    <t>　(保有施設の活用、経済的な宿泊施設や交通手段の活用など)</t>
    <phoneticPr fontId="22"/>
  </si>
  <si>
    <t>　(招へい単価(2万円/人･日)、協力者3名を超える場合の必要性など)</t>
    <phoneticPr fontId="22"/>
  </si>
  <si>
    <r>
      <rPr>
        <sz val="9"/>
        <color theme="1"/>
        <rFont val="Meiryo UI"/>
        <family val="3"/>
        <charset val="128"/>
      </rPr>
      <t>不課税取引などに係</t>
    </r>
    <r>
      <rPr>
        <sz val="10"/>
        <color theme="1"/>
        <rFont val="Meiryo UI"/>
        <family val="3"/>
        <charset val="128"/>
      </rPr>
      <t>る消費税</t>
    </r>
    <r>
      <rPr>
        <sz val="9"/>
        <color theme="1"/>
        <rFont val="Meiryo UI"/>
        <family val="3"/>
        <charset val="128"/>
      </rPr>
      <t>相当額</t>
    </r>
    <r>
      <rPr>
        <sz val="7"/>
        <color theme="1"/>
        <rFont val="Meiryo UI"/>
        <family val="3"/>
        <charset val="128"/>
      </rPr>
      <t xml:space="preserve">
免税事業者の場合は金額欄に「0」、使途などに「免税事業者」と記入。</t>
    </r>
    <rPh sb="0" eb="3">
      <t>フカゼイ</t>
    </rPh>
    <rPh sb="3" eb="5">
      <t>トリヒキ</t>
    </rPh>
    <rPh sb="8" eb="9">
      <t>カカ</t>
    </rPh>
    <rPh sb="10" eb="13">
      <t>ショウヒゼイ</t>
    </rPh>
    <rPh sb="13" eb="16">
      <t>ソウトウガク</t>
    </rPh>
    <rPh sb="17" eb="19">
      <t>メンゼイ</t>
    </rPh>
    <rPh sb="19" eb="22">
      <t>ジギョウシャ</t>
    </rPh>
    <rPh sb="23" eb="25">
      <t>バアイ</t>
    </rPh>
    <rPh sb="26" eb="28">
      <t>キンガク</t>
    </rPh>
    <rPh sb="28" eb="29">
      <t>ラン</t>
    </rPh>
    <rPh sb="34" eb="36">
      <t>シト</t>
    </rPh>
    <rPh sb="40" eb="42">
      <t>メンゼイ</t>
    </rPh>
    <rPh sb="42" eb="45">
      <t>ジギョウシャ</t>
    </rPh>
    <rPh sb="47" eb="49">
      <t>キニュウ</t>
    </rPh>
    <phoneticPr fontId="14"/>
  </si>
  <si>
    <t>abcd大学（11名⇒11名）
大学生7名⇒5名
大学院生3名⇒5名
教員1名</t>
    <rPh sb="13" eb="14">
      <t>メイ</t>
    </rPh>
    <phoneticPr fontId="14"/>
  </si>
  <si>
    <t>3日目AM：
　●●大学訪問
　⇒■■企業訪問
5日目PM：
　■■企業訪問
　⇒▲▲大学訪問</t>
    <phoneticPr fontId="14"/>
  </si>
  <si>
    <t xml:space="preserve"> (1)経費の効果的・効率的な利用</t>
    <phoneticPr fontId="14"/>
  </si>
  <si>
    <r>
      <rPr>
        <sz val="10"/>
        <color rgb="FFFF0000"/>
        <rFont val="Meiryo UI"/>
        <family val="3"/>
        <charset val="128"/>
      </rPr>
      <t>【必須】</t>
    </r>
    <r>
      <rPr>
        <sz val="10"/>
        <rFont val="Meiryo UI"/>
        <family val="3"/>
        <charset val="128"/>
      </rPr>
      <t xml:space="preserve">(3)交流の発展・展開について
</t>
    </r>
    <r>
      <rPr>
        <sz val="9"/>
        <rFont val="Meiryo UI"/>
        <family val="3"/>
        <charset val="128"/>
      </rPr>
      <t>※新規の実施主担当者による申請である場合は、「新規の申請」と記載してください。過去に実施した本事業での交流の結果を踏まえて発展させた申請である場合はその内容を具体的に記載してください。本事業以外の国際交流等の成果を踏まえて発展させた交流である場合はその内容を具体的に記載してください。
（任意）本事業の実施による再来日などの成果や他の事業での受入れ実績など、特記すべき実績があれば、上記必須項目に加えて記載してください。</t>
    </r>
    <phoneticPr fontId="14"/>
  </si>
  <si>
    <t>(JST使用欄：海外旅行保険用）</t>
    <rPh sb="4" eb="6">
      <t>シヨウ</t>
    </rPh>
    <rPh sb="6" eb="7">
      <t>ラン</t>
    </rPh>
    <rPh sb="8" eb="10">
      <t>カイガイ</t>
    </rPh>
    <rPh sb="10" eb="12">
      <t>リョコウ</t>
    </rPh>
    <rPh sb="12" eb="14">
      <t>ホケン</t>
    </rPh>
    <rPh sb="14" eb="15">
      <t>ヨウ</t>
    </rPh>
    <phoneticPr fontId="14"/>
  </si>
  <si>
    <t>（漢字）</t>
    <rPh sb="1" eb="3">
      <t>カンジ</t>
    </rPh>
    <phoneticPr fontId="14"/>
  </si>
  <si>
    <r>
      <t>アルファベット</t>
    </r>
    <r>
      <rPr>
        <sz val="7.5"/>
        <color theme="1"/>
        <rFont val="Meiryo UI"/>
        <family val="3"/>
        <charset val="128"/>
      </rPr>
      <t xml:space="preserve">
</t>
    </r>
    <r>
      <rPr>
        <sz val="9"/>
        <color theme="1"/>
        <rFont val="Meiryo UI"/>
        <family val="3"/>
        <charset val="128"/>
      </rPr>
      <t>（パスポート表記・大文字）</t>
    </r>
    <rPh sb="14" eb="16">
      <t>ヒョウキ</t>
    </rPh>
    <rPh sb="17" eb="20">
      <t>オオモジ</t>
    </rPh>
    <phoneticPr fontId="14"/>
  </si>
  <si>
    <t>↓すべて半角大文字に修正、不要なスペース削除、改行削除</t>
    <rPh sb="4" eb="6">
      <t>ハンカク</t>
    </rPh>
    <rPh sb="6" eb="9">
      <t>オオモジ</t>
    </rPh>
    <rPh sb="10" eb="12">
      <t>シュウセイ</t>
    </rPh>
    <rPh sb="13" eb="15">
      <t>フヨウ</t>
    </rPh>
    <rPh sb="20" eb="22">
      <t>サクジョ</t>
    </rPh>
    <rPh sb="23" eb="25">
      <t>カイギョウ</t>
    </rPh>
    <rPh sb="25" eb="27">
      <t>サクジョ</t>
    </rPh>
    <phoneticPr fontId="14"/>
  </si>
  <si>
    <t>訪問先は変わるが、▲▲大学で交流テーマに関する最先端の知識を習得することができ、同等の効果が得られる。</t>
    <rPh sb="40" eb="42">
      <t>ドウトウ</t>
    </rPh>
    <phoneticPr fontId="14"/>
  </si>
  <si>
    <t>今年度実施可能日：</t>
    <rPh sb="0" eb="3">
      <t>コンネンド</t>
    </rPh>
    <rPh sb="3" eb="5">
      <t>ジッシ</t>
    </rPh>
    <rPh sb="5" eb="7">
      <t>カノウ</t>
    </rPh>
    <rPh sb="7" eb="8">
      <t>ビ</t>
    </rPh>
    <phoneticPr fontId="14"/>
  </si>
  <si>
    <t>Ver.2501</t>
    <phoneticPr fontId="14"/>
  </si>
  <si>
    <r>
      <t>#</t>
    </r>
    <r>
      <rPr>
        <sz val="9"/>
        <color theme="1"/>
        <rFont val="Meiryo UI"/>
        <family val="2"/>
        <charset val="128"/>
      </rPr>
      <t>2</t>
    </r>
    <phoneticPr fontId="14"/>
  </si>
  <si>
    <r>
      <t>#</t>
    </r>
    <r>
      <rPr>
        <sz val="9"/>
        <color theme="1"/>
        <rFont val="Meiryo UI"/>
        <family val="2"/>
        <charset val="128"/>
      </rPr>
      <t>4</t>
    </r>
    <r>
      <rPr>
        <sz val="11"/>
        <color theme="1"/>
        <rFont val="Meiryo UI"/>
        <family val="2"/>
        <charset val="128"/>
      </rPr>
      <t/>
    </r>
  </si>
  <si>
    <r>
      <t>#</t>
    </r>
    <r>
      <rPr>
        <sz val="9"/>
        <color theme="1"/>
        <rFont val="Meiryo UI"/>
        <family val="2"/>
        <charset val="128"/>
      </rPr>
      <t>6</t>
    </r>
    <r>
      <rPr>
        <sz val="11"/>
        <color theme="1"/>
        <rFont val="Meiryo UI"/>
        <family val="2"/>
        <charset val="128"/>
      </rPr>
      <t/>
    </r>
  </si>
  <si>
    <r>
      <t>#</t>
    </r>
    <r>
      <rPr>
        <sz val="9"/>
        <color theme="1"/>
        <rFont val="Meiryo UI"/>
        <family val="2"/>
        <charset val="128"/>
      </rPr>
      <t>8</t>
    </r>
    <r>
      <rPr>
        <sz val="11"/>
        <color theme="1"/>
        <rFont val="Meiryo UI"/>
        <family val="2"/>
        <charset val="128"/>
      </rPr>
      <t/>
    </r>
  </si>
  <si>
    <r>
      <t>#</t>
    </r>
    <r>
      <rPr>
        <sz val="9"/>
        <color theme="1"/>
        <rFont val="Meiryo UI"/>
        <family val="2"/>
        <charset val="128"/>
      </rPr>
      <t>10</t>
    </r>
    <r>
      <rPr>
        <sz val="11"/>
        <color theme="1"/>
        <rFont val="Meiryo UI"/>
        <family val="2"/>
        <charset val="128"/>
      </rPr>
      <t/>
    </r>
  </si>
  <si>
    <t>（欄外：作成についての注意事項）</t>
    <rPh sb="1" eb="3">
      <t>ランガイ</t>
    </rPh>
    <rPh sb="4" eb="6">
      <t>サクセイ</t>
    </rPh>
    <rPh sb="11" eb="13">
      <t>チュウイ</t>
    </rPh>
    <rPh sb="13" eb="15">
      <t>ジコウ</t>
    </rPh>
    <phoneticPr fontId="5"/>
  </si>
  <si>
    <t>（欄外：作成についての注意事項・記入例）</t>
    <rPh sb="1" eb="3">
      <t>ランガイ</t>
    </rPh>
    <rPh sb="4" eb="6">
      <t>サクセイ</t>
    </rPh>
    <rPh sb="11" eb="13">
      <t>チュウイ</t>
    </rPh>
    <rPh sb="13" eb="15">
      <t>ジコウ</t>
    </rPh>
    <rPh sb="16" eb="18">
      <t>キニュウ</t>
    </rPh>
    <rPh sb="18" eb="19">
      <t>レイ</t>
    </rPh>
    <phoneticPr fontId="5"/>
  </si>
  <si>
    <r>
      <rPr>
        <sz val="10"/>
        <color theme="1" tint="0.34998626667073579"/>
        <rFont val="Meiryo UI"/>
        <family val="3"/>
        <charset val="128"/>
      </rPr>
      <t>（オンライン開始日）　　　　　(オンライン終了日)</t>
    </r>
    <r>
      <rPr>
        <b/>
        <sz val="10"/>
        <color theme="1" tint="0.34998626667073579"/>
        <rFont val="Meiryo UI"/>
        <family val="3"/>
        <charset val="128"/>
      </rPr>
      <t xml:space="preserve">
202●/●/●　　～　　202●/●/○</t>
    </r>
    <rPh sb="6" eb="9">
      <t>カイシビ</t>
    </rPh>
    <rPh sb="21" eb="24">
      <t>シュウリョウビ</t>
    </rPh>
    <phoneticPr fontId="14"/>
  </si>
  <si>
    <r>
      <rPr>
        <b/>
        <sz val="10"/>
        <color theme="1" tint="0.34998626667073579"/>
        <rFont val="Meiryo UI"/>
        <family val="3"/>
        <charset val="128"/>
      </rPr>
      <t>※１）受入れ機関概要の</t>
    </r>
    <r>
      <rPr>
        <b/>
        <sz val="10"/>
        <color rgb="FFFF0000"/>
        <rFont val="Meiryo UI"/>
        <family val="3"/>
        <charset val="128"/>
      </rPr>
      <t>「受入れ機関名（日本語）」</t>
    </r>
    <r>
      <rPr>
        <b/>
        <sz val="10"/>
        <color theme="1" tint="0.34998626667073579"/>
        <rFont val="Meiryo UI"/>
        <family val="3"/>
        <charset val="128"/>
      </rPr>
      <t>と</t>
    </r>
    <r>
      <rPr>
        <b/>
        <sz val="10"/>
        <color rgb="FFFF0000"/>
        <rFont val="Meiryo UI"/>
        <family val="3"/>
        <charset val="128"/>
      </rPr>
      <t>「契約法人情報　契約法人名」</t>
    </r>
    <r>
      <rPr>
        <b/>
        <sz val="10"/>
        <color theme="1" tint="0.34998626667073579"/>
        <rFont val="Meiryo UI"/>
        <family val="3"/>
        <charset val="128"/>
      </rPr>
      <t>の欄について、以下の例を参考に記入をお願いします。</t>
    </r>
    <rPh sb="3" eb="5">
      <t>ウケイ</t>
    </rPh>
    <rPh sb="6" eb="8">
      <t>キカン</t>
    </rPh>
    <rPh sb="8" eb="10">
      <t>ガイヨウ</t>
    </rPh>
    <rPh sb="19" eb="22">
      <t>ニホンゴ</t>
    </rPh>
    <rPh sb="26" eb="28">
      <t>ケイヤク</t>
    </rPh>
    <rPh sb="28" eb="30">
      <t>ホウジン</t>
    </rPh>
    <rPh sb="30" eb="32">
      <t>ジョウホウ</t>
    </rPh>
    <rPh sb="40" eb="41">
      <t>ラン</t>
    </rPh>
    <phoneticPr fontId="14"/>
  </si>
  <si>
    <r>
      <t>←シート2)、3)に記入後、自動入力されます。</t>
    </r>
    <r>
      <rPr>
        <u/>
        <sz val="9"/>
        <color rgb="FFFF0000"/>
        <rFont val="Meiryo UI"/>
        <family val="3"/>
        <charset val="128"/>
      </rPr>
      <t xml:space="preserve">
</t>
    </r>
    <r>
      <rPr>
        <sz val="9"/>
        <rFont val="Meiryo UI"/>
        <family val="3"/>
        <charset val="128"/>
      </rPr>
      <t xml:space="preserve"> </t>
    </r>
    <r>
      <rPr>
        <u/>
        <sz val="9"/>
        <rFont val="Meiryo UI"/>
        <family val="3"/>
        <charset val="128"/>
      </rPr>
      <t xml:space="preserve">※Excelのバージョン等により表示されない場合がありますが、
</t>
    </r>
    <r>
      <rPr>
        <sz val="9"/>
        <rFont val="Meiryo UI"/>
        <family val="3"/>
        <charset val="128"/>
      </rPr>
      <t xml:space="preserve"> 　 </t>
    </r>
    <r>
      <rPr>
        <u/>
        <sz val="9"/>
        <rFont val="Meiryo UI"/>
        <family val="3"/>
        <charset val="128"/>
      </rPr>
      <t>問題ありませんので、そのままご提出ください。</t>
    </r>
    <rPh sb="10" eb="12">
      <t>キニュウ</t>
    </rPh>
    <rPh sb="12" eb="13">
      <t>ゴ</t>
    </rPh>
    <rPh sb="14" eb="16">
      <t>ジドウ</t>
    </rPh>
    <rPh sb="16" eb="18">
      <t>ニュウリョク</t>
    </rPh>
    <rPh sb="37" eb="38">
      <t>トウ</t>
    </rPh>
    <rPh sb="41" eb="43">
      <t>ヒョウジ</t>
    </rPh>
    <rPh sb="47" eb="49">
      <t>バアイ</t>
    </rPh>
    <rPh sb="60" eb="62">
      <t>モンダイ</t>
    </rPh>
    <rPh sb="75" eb="77">
      <t>テイシュツ</t>
    </rPh>
    <phoneticPr fontId="14"/>
  </si>
  <si>
    <t>招へい者
リスト
入力状況</t>
    <phoneticPr fontId="14"/>
  </si>
  <si>
    <t>　⇐「送出し国」 「送出し機関名」は自動入力、「合計」は自動計算されるので、
　　　送出し機関別、属性別の招へい者の人数を入力してください。
　【注意】 「外国ユーザーリスト」に掲載されている企業・組織等は申請できません。</t>
    <phoneticPr fontId="14"/>
  </si>
  <si>
    <t>⇐出国空港までの見送りについて詳細を記載してください。
　 地方空港から日本国内の空港を経由して出国する場合は、
　 出国する空港まで見送っていただくこととなります。
   申請時に費用計上してください。</t>
    <rPh sb="1" eb="3">
      <t>シュッコク</t>
    </rPh>
    <rPh sb="3" eb="5">
      <t>クウコウ</t>
    </rPh>
    <rPh sb="8" eb="10">
      <t>ミオク</t>
    </rPh>
    <rPh sb="15" eb="17">
      <t>ショウサイ</t>
    </rPh>
    <rPh sb="18" eb="20">
      <t>キサイ</t>
    </rPh>
    <rPh sb="30" eb="32">
      <t>チホウ</t>
    </rPh>
    <rPh sb="32" eb="34">
      <t>クウコウ</t>
    </rPh>
    <rPh sb="36" eb="38">
      <t>ニホン</t>
    </rPh>
    <rPh sb="38" eb="40">
      <t>コクナイ</t>
    </rPh>
    <rPh sb="41" eb="43">
      <t>クウコウ</t>
    </rPh>
    <rPh sb="44" eb="46">
      <t>ケイユ</t>
    </rPh>
    <rPh sb="48" eb="50">
      <t>シュッコク</t>
    </rPh>
    <rPh sb="52" eb="54">
      <t>バアイ</t>
    </rPh>
    <rPh sb="59" eb="61">
      <t>シュッコク</t>
    </rPh>
    <rPh sb="63" eb="65">
      <t>クウコウ</t>
    </rPh>
    <rPh sb="67" eb="69">
      <t>ミオク</t>
    </rPh>
    <rPh sb="87" eb="90">
      <t>シンセイジ</t>
    </rPh>
    <rPh sb="91" eb="93">
      <t>ヒヨウ</t>
    </rPh>
    <rPh sb="93" eb="95">
      <t>ケイジョウ</t>
    </rPh>
    <phoneticPr fontId="14"/>
  </si>
  <si>
    <t>⇐1)シートから自動で入力されます。</t>
    <rPh sb="8" eb="10">
      <t>ジドウ</t>
    </rPh>
    <rPh sb="11" eb="13">
      <t>ニュウリョク</t>
    </rPh>
    <phoneticPr fontId="14"/>
  </si>
  <si>
    <t>受入れ機関名</t>
    <phoneticPr fontId="14"/>
  </si>
  <si>
    <t>プログラム
経費</t>
    <phoneticPr fontId="14"/>
  </si>
  <si>
    <t>渡航費
合計</t>
    <rPh sb="0" eb="3">
      <t>トコウヒ</t>
    </rPh>
    <rPh sb="4" eb="6">
      <t>ゴウケイ</t>
    </rPh>
    <phoneticPr fontId="14"/>
  </si>
  <si>
    <t>⇐【招へい単価】
   20,000円を超える場合は、その理由を
  「経費計画の特徴」欄に記入してください。</t>
    <phoneticPr fontId="14"/>
  </si>
  <si>
    <r>
      <t>＊</t>
    </r>
    <r>
      <rPr>
        <sz val="9"/>
        <color rgb="FFFF0000"/>
        <rFont val="Meiryo UI"/>
        <family val="3"/>
        <charset val="128"/>
      </rPr>
      <t xml:space="preserve">直行便のない国であって、航路上やむを得ず宿泊する場合のみ  </t>
    </r>
    <r>
      <rPr>
        <sz val="9"/>
        <rFont val="Meiryo UI"/>
        <family val="3"/>
        <charset val="128"/>
      </rPr>
      <t>＊15,000円／人×泊以下（食費も「泊」にまとめて記入）</t>
    </r>
    <phoneticPr fontId="14"/>
  </si>
  <si>
    <r>
      <t>＊</t>
    </r>
    <r>
      <rPr>
        <sz val="9"/>
        <color rgb="FFFF0000"/>
        <rFont val="Meiryo UI"/>
        <family val="3"/>
        <charset val="128"/>
      </rPr>
      <t>自己申請</t>
    </r>
    <r>
      <rPr>
        <sz val="9"/>
        <rFont val="Meiryo UI"/>
        <family val="3"/>
        <charset val="128"/>
      </rPr>
      <t>を行う場合に計上可。　</t>
    </r>
    <r>
      <rPr>
        <sz val="9"/>
        <color rgb="FFFF0000"/>
        <rFont val="Meiryo UI"/>
        <family val="3"/>
        <charset val="128"/>
      </rPr>
      <t xml:space="preserve">実費（上限3,000円／人） </t>
    </r>
    <r>
      <rPr>
        <sz val="9"/>
        <rFont val="Meiryo UI"/>
        <family val="3"/>
        <charset val="128"/>
      </rPr>
      <t>＊日本への直行便がない国からの招へいに限り、通過査証（トランジットビザ）代の計上可。　実費（上限3,000円／人） 
＊対象はJST支援金による招へい者のみ。</t>
    </r>
    <rPh sb="11" eb="13">
      <t>ケイジョウ</t>
    </rPh>
    <rPh sb="13" eb="14">
      <t>カ</t>
    </rPh>
    <rPh sb="71" eb="72">
      <t>カ</t>
    </rPh>
    <phoneticPr fontId="14"/>
  </si>
  <si>
    <t>　　　国際航空券費：</t>
    <phoneticPr fontId="14"/>
  </si>
  <si>
    <t>　　　国外滞在費（宿泊費・食費）：</t>
    <phoneticPr fontId="14"/>
  </si>
  <si>
    <t>　　　査証手数料：</t>
    <phoneticPr fontId="14"/>
  </si>
  <si>
    <t>渡航費上限額</t>
    <rPh sb="0" eb="3">
      <t>トコウヒ</t>
    </rPh>
    <rPh sb="3" eb="6">
      <t>ジョウゲンガク</t>
    </rPh>
    <phoneticPr fontId="14"/>
  </si>
  <si>
    <t>６）招へい者リスト　国籍</t>
    <rPh sb="2" eb="3">
      <t>ショウ</t>
    </rPh>
    <rPh sb="5" eb="6">
      <t>シャ</t>
    </rPh>
    <rPh sb="10" eb="12">
      <t>コクセキ</t>
    </rPh>
    <phoneticPr fontId="14"/>
  </si>
  <si>
    <t>アラブシュキョウコクレンポウ</t>
  </si>
  <si>
    <t>韓国</t>
    <rPh sb="1" eb="2">
      <t>コク</t>
    </rPh>
    <phoneticPr fontId="7"/>
  </si>
  <si>
    <t>セントビンセントおよびグレナディーンショトウ</t>
  </si>
  <si>
    <t>中央アフリカ共和国</t>
    <rPh sb="8" eb="9">
      <t>コク</t>
    </rPh>
    <phoneticPr fontId="7"/>
  </si>
  <si>
    <t>中国</t>
    <rPh sb="1" eb="2">
      <t>コク</t>
    </rPh>
    <phoneticPr fontId="7"/>
  </si>
  <si>
    <t>ドミニカ共和国</t>
    <rPh sb="6" eb="7">
      <t>コク</t>
    </rPh>
    <phoneticPr fontId="7"/>
  </si>
  <si>
    <t>ドミニカ国</t>
    <rPh sb="4" eb="5">
      <t>コク</t>
    </rPh>
    <phoneticPr fontId="7"/>
  </si>
  <si>
    <t>パレスチナ</t>
  </si>
  <si>
    <t>南アフリカ共和国</t>
    <rPh sb="7" eb="8">
      <t>コク</t>
    </rPh>
    <phoneticPr fontId="7"/>
  </si>
  <si>
    <t>【2025年度】さくらサイエンスプログラム（ABCコース）</t>
    <rPh sb="5" eb="7">
      <t>ネンド</t>
    </rPh>
    <phoneticPr fontId="14"/>
  </si>
  <si>
    <t>科学技術体験コース（Ａコース）</t>
    <phoneticPr fontId="14"/>
  </si>
  <si>
    <t>共同研究活動コース（Ｂコース）</t>
    <phoneticPr fontId="14"/>
  </si>
  <si>
    <t>科学技術研修コース（Ｃコース）</t>
    <phoneticPr fontId="14"/>
  </si>
  <si>
    <t>⇐JST支援金による招へい者と同等の要件（所属、年齢、来日経験）を満たす方のみ対象。
　 引率者は招へい者全体で1機関1名まで。
　 送出し機関の国・地域は、今年度本事業が対象とする国・地域のみ。</t>
    <rPh sb="4" eb="7">
      <t>シエンキン</t>
    </rPh>
    <rPh sb="10" eb="11">
      <t>ショウ</t>
    </rPh>
    <rPh sb="13" eb="14">
      <t>シャ</t>
    </rPh>
    <rPh sb="15" eb="17">
      <t>ドウトウ</t>
    </rPh>
    <rPh sb="18" eb="20">
      <t>ヨウケン</t>
    </rPh>
    <rPh sb="33" eb="34">
      <t>ミ</t>
    </rPh>
    <rPh sb="36" eb="37">
      <t>カタ</t>
    </rPh>
    <rPh sb="39" eb="41">
      <t>タイショウ</t>
    </rPh>
    <rPh sb="45" eb="48">
      <t>インソツシャ</t>
    </rPh>
    <rPh sb="49" eb="50">
      <t>ショウ</t>
    </rPh>
    <rPh sb="52" eb="53">
      <t>シャ</t>
    </rPh>
    <rPh sb="53" eb="55">
      <t>ゼンタイ</t>
    </rPh>
    <rPh sb="57" eb="59">
      <t>キカン</t>
    </rPh>
    <rPh sb="60" eb="61">
      <t>メイ</t>
    </rPh>
    <rPh sb="67" eb="68">
      <t>オク</t>
    </rPh>
    <rPh sb="68" eb="69">
      <t>ダ</t>
    </rPh>
    <rPh sb="70" eb="72">
      <t>キカン</t>
    </rPh>
    <rPh sb="73" eb="74">
      <t>クニ</t>
    </rPh>
    <rPh sb="75" eb="77">
      <t>チイキ</t>
    </rPh>
    <phoneticPr fontId="14"/>
  </si>
  <si>
    <r>
      <t xml:space="preserve">性別
</t>
    </r>
    <r>
      <rPr>
        <sz val="6"/>
        <color theme="1"/>
        <rFont val="Meiryo UI"/>
        <family val="3"/>
        <charset val="128"/>
      </rPr>
      <t>M=Male
F=Female
O=Other</t>
    </r>
    <rPh sb="0" eb="2">
      <t>セイベツ</t>
    </rPh>
    <phoneticPr fontId="14"/>
  </si>
  <si>
    <t>すべての招へい者は（１）所属・年齢、（２）来日経験の要件を満たしている。</t>
    <phoneticPr fontId="14"/>
  </si>
  <si>
    <t>受付番号 ・ 日程 ・ コース名</t>
    <rPh sb="0" eb="2">
      <t>ウケツケ</t>
    </rPh>
    <rPh sb="2" eb="4">
      <t>バンゴウ</t>
    </rPh>
    <rPh sb="7" eb="9">
      <t>ニッテイ</t>
    </rPh>
    <rPh sb="15" eb="16">
      <t>メイ</t>
    </rPh>
    <phoneticPr fontId="14"/>
  </si>
  <si>
    <t>実施責任者（契約者）の変更</t>
    <phoneticPr fontId="14"/>
  </si>
  <si>
    <t xml:space="preserve">送出し機関の変更【※】 </t>
    <rPh sb="6" eb="8">
      <t>ヘンコウ</t>
    </rPh>
    <phoneticPr fontId="14"/>
  </si>
  <si>
    <t>その他上記以外の変更【※】</t>
    <rPh sb="2" eb="3">
      <t>タ</t>
    </rPh>
    <rPh sb="3" eb="5">
      <t>ジョウキ</t>
    </rPh>
    <rPh sb="5" eb="7">
      <t>イガイ</t>
    </rPh>
    <rPh sb="8" eb="10">
      <t>ヘンコウ</t>
    </rPh>
    <phoneticPr fontId="14"/>
  </si>
  <si>
    <t>招へい者内訳（機関・属性）の変更</t>
    <phoneticPr fontId="14"/>
  </si>
  <si>
    <t>軽微なプログラム内容の変更</t>
    <phoneticPr fontId="14"/>
  </si>
  <si>
    <t>203●/●/●</t>
  </si>
  <si>
    <t>#16</t>
  </si>
  <si>
    <t>#18</t>
  </si>
  <si>
    <t>#20</t>
  </si>
  <si>
    <t>#22</t>
  </si>
  <si>
    <t>#24</t>
  </si>
  <si>
    <t>#26</t>
  </si>
  <si>
    <t>#28</t>
  </si>
  <si>
    <t>#30</t>
  </si>
  <si>
    <t>招へい者内訳（機関・属性）の変更</t>
  </si>
  <si>
    <t>招へい者内訳（機関・属性）の変更</t>
    <phoneticPr fontId="14"/>
  </si>
  <si>
    <t>実施責任者（契約者）の変更</t>
  </si>
  <si>
    <t>軽微なプログラム内容の変更</t>
  </si>
  <si>
    <t>JST支援金による招へい者数・滞在日数の変更【※】</t>
  </si>
  <si>
    <t>JST支援金による招へい者数・滞在日数の変更【※】</t>
    <rPh sb="3" eb="6">
      <t>シエンキン</t>
    </rPh>
    <rPh sb="9" eb="10">
      <t>ショウ</t>
    </rPh>
    <rPh sb="12" eb="13">
      <t>シャ</t>
    </rPh>
    <rPh sb="13" eb="14">
      <t>スウ</t>
    </rPh>
    <rPh sb="15" eb="17">
      <t>タイザイ</t>
    </rPh>
    <rPh sb="17" eb="19">
      <t>ニッスウ</t>
    </rPh>
    <rPh sb="20" eb="22">
      <t>ヘンコウ</t>
    </rPh>
    <phoneticPr fontId="14"/>
  </si>
  <si>
    <t xml:space="preserve">受入れ機関の変更【※】 </t>
  </si>
  <si>
    <t xml:space="preserve">実施主担当者の変更【※】 </t>
  </si>
  <si>
    <t xml:space="preserve">流用制限を超える負担対象費用の変更【※】 </t>
  </si>
  <si>
    <t>招へい人数8名→7名</t>
    <rPh sb="0" eb="1">
      <t>ショウ</t>
    </rPh>
    <rPh sb="3" eb="4">
      <t>ニン</t>
    </rPh>
    <rPh sb="4" eb="5">
      <t>スウ</t>
    </rPh>
    <rPh sb="6" eb="7">
      <t>メイ</t>
    </rPh>
    <rPh sb="9" eb="10">
      <t>メイ</t>
    </rPh>
    <phoneticPr fontId="14"/>
  </si>
  <si>
    <t>様式5に詳細記載</t>
    <rPh sb="0" eb="2">
      <t>ヨウシキ</t>
    </rPh>
    <rPh sb="4" eb="6">
      <t>ショウサイ</t>
    </rPh>
    <rPh sb="6" eb="8">
      <t>キサイ</t>
    </rPh>
    <phoneticPr fontId="14"/>
  </si>
  <si>
    <r>
      <rPr>
        <sz val="10"/>
        <rFont val="Meiryo UI"/>
        <family val="3"/>
        <charset val="128"/>
      </rPr>
      <t>自己資金招へい者</t>
    </r>
    <r>
      <rPr>
        <sz val="10"/>
        <color theme="1"/>
        <rFont val="Meiryo UI"/>
        <family val="3"/>
        <charset val="128"/>
      </rPr>
      <t>　</t>
    </r>
    <r>
      <rPr>
        <sz val="9"/>
        <color theme="1"/>
        <rFont val="Meiryo UI"/>
        <family val="3"/>
        <charset val="128"/>
      </rPr>
      <t>　</t>
    </r>
    <r>
      <rPr>
        <b/>
        <u/>
        <sz val="9"/>
        <color rgb="FFFF0000"/>
        <rFont val="Meiryo UI"/>
        <family val="3"/>
        <charset val="128"/>
      </rPr>
      <t>※JST支援金による招へい者と同様の要件を満たすこと。</t>
    </r>
    <r>
      <rPr>
        <sz val="9"/>
        <color theme="1"/>
        <rFont val="Meiryo UI"/>
        <family val="3"/>
        <charset val="128"/>
      </rPr>
      <t>採択された場合にはリストを提出いただきます。</t>
    </r>
    <rPh sb="0" eb="2">
      <t>ジコ</t>
    </rPh>
    <rPh sb="2" eb="4">
      <t>シキン</t>
    </rPh>
    <rPh sb="4" eb="5">
      <t>ショウ</t>
    </rPh>
    <rPh sb="7" eb="8">
      <t>シャ</t>
    </rPh>
    <phoneticPr fontId="14"/>
  </si>
  <si>
    <t>【申請時】</t>
  </si>
  <si>
    <t>変更内容
種別一覧</t>
    <phoneticPr fontId="14"/>
  </si>
  <si>
    <t>改訂履歴へ記載し、変更承認申請書の提出が必要</t>
    <rPh sb="0" eb="2">
      <t>カイテイ</t>
    </rPh>
    <rPh sb="2" eb="4">
      <t>リレキ</t>
    </rPh>
    <rPh sb="5" eb="7">
      <t>キサイ</t>
    </rPh>
    <phoneticPr fontId="14"/>
  </si>
  <si>
    <t>変更内容種別</t>
    <rPh sb="0" eb="2">
      <t>ヘンコウ</t>
    </rPh>
    <rPh sb="2" eb="4">
      <t>ナイヨウ</t>
    </rPh>
    <rPh sb="4" eb="6">
      <t>シュベツ</t>
    </rPh>
    <phoneticPr fontId="14"/>
  </si>
  <si>
    <t>変更内容種別に【※】がついている項目は【様式5】業務変更承認申請書を提出すること</t>
    <rPh sb="0" eb="2">
      <t>ヘンコウ</t>
    </rPh>
    <rPh sb="2" eb="4">
      <t>ナイヨウ</t>
    </rPh>
    <rPh sb="4" eb="6">
      <t>シュベツ</t>
    </rPh>
    <rPh sb="16" eb="18">
      <t>コウモク</t>
    </rPh>
    <rPh sb="24" eb="26">
      <t>ギョウム</t>
    </rPh>
    <rPh sb="26" eb="28">
      <t>ヘンコウ</t>
    </rPh>
    <rPh sb="28" eb="30">
      <t>ショウニン</t>
    </rPh>
    <rPh sb="30" eb="33">
      <t>シンセイショ</t>
    </rPh>
    <phoneticPr fontId="14"/>
  </si>
  <si>
    <r>
      <t xml:space="preserve">性別
</t>
    </r>
    <r>
      <rPr>
        <sz val="8"/>
        <color theme="1"/>
        <rFont val="Meiryo UI"/>
        <family val="3"/>
        <charset val="128"/>
      </rPr>
      <t>(M/F/O)</t>
    </r>
    <rPh sb="0" eb="2">
      <t>セイベツ</t>
    </rPh>
    <phoneticPr fontId="14"/>
  </si>
  <si>
    <t>↑15名以上となる場合は、65、81の行を行選択し、右クリック。「再表示」を選択してください。</t>
    <rPh sb="3" eb="4">
      <t>メイ</t>
    </rPh>
    <rPh sb="4" eb="6">
      <t>イジョウ</t>
    </rPh>
    <rPh sb="9" eb="11">
      <t>バアイ</t>
    </rPh>
    <rPh sb="19" eb="20">
      <t>ギョウ</t>
    </rPh>
    <rPh sb="21" eb="24">
      <t>ギョウセンタク</t>
    </rPh>
    <rPh sb="26" eb="27">
      <t>ミギ</t>
    </rPh>
    <rPh sb="33" eb="36">
      <t>サイヒョウジ</t>
    </rPh>
    <rPh sb="38" eb="40">
      <t>センタク</t>
    </rPh>
    <phoneticPr fontId="14"/>
  </si>
  <si>
    <r>
      <t>#</t>
    </r>
    <r>
      <rPr>
        <sz val="9"/>
        <color theme="1"/>
        <rFont val="Meiryo UI"/>
        <family val="2"/>
        <charset val="128"/>
      </rPr>
      <t>13</t>
    </r>
    <r>
      <rPr>
        <sz val="11"/>
        <color theme="1"/>
        <rFont val="Meiryo UI"/>
        <family val="2"/>
        <charset val="128"/>
      </rPr>
      <t/>
    </r>
  </si>
  <si>
    <r>
      <t>#</t>
    </r>
    <r>
      <rPr>
        <sz val="9"/>
        <color theme="1"/>
        <rFont val="Meiryo UI"/>
        <family val="2"/>
        <charset val="128"/>
      </rPr>
      <t>15</t>
    </r>
    <r>
      <rPr>
        <sz val="11"/>
        <color theme="1"/>
        <rFont val="Meiryo UI"/>
        <family val="2"/>
        <charset val="128"/>
      </rPr>
      <t/>
    </r>
  </si>
  <si>
    <r>
      <t>#</t>
    </r>
    <r>
      <rPr>
        <sz val="9"/>
        <color theme="1"/>
        <rFont val="Meiryo UI"/>
        <family val="2"/>
        <charset val="128"/>
      </rPr>
      <t>17</t>
    </r>
    <r>
      <rPr>
        <sz val="11"/>
        <color theme="1"/>
        <rFont val="Meiryo UI"/>
        <family val="2"/>
        <charset val="128"/>
      </rPr>
      <t/>
    </r>
  </si>
  <si>
    <r>
      <t>#</t>
    </r>
    <r>
      <rPr>
        <sz val="9"/>
        <color theme="1"/>
        <rFont val="Meiryo UI"/>
        <family val="2"/>
        <charset val="128"/>
      </rPr>
      <t>19</t>
    </r>
    <r>
      <rPr>
        <sz val="11"/>
        <color theme="1"/>
        <rFont val="Meiryo UI"/>
        <family val="2"/>
        <charset val="128"/>
      </rPr>
      <t/>
    </r>
  </si>
  <si>
    <r>
      <t>#</t>
    </r>
    <r>
      <rPr>
        <sz val="9"/>
        <color theme="1"/>
        <rFont val="Meiryo UI"/>
        <family val="2"/>
        <charset val="128"/>
      </rPr>
      <t>21</t>
    </r>
    <r>
      <rPr>
        <sz val="11"/>
        <color theme="1"/>
        <rFont val="Meiryo UI"/>
        <family val="2"/>
        <charset val="128"/>
      </rPr>
      <t/>
    </r>
  </si>
  <si>
    <r>
      <t>#</t>
    </r>
    <r>
      <rPr>
        <sz val="9"/>
        <color theme="1"/>
        <rFont val="Meiryo UI"/>
        <family val="2"/>
        <charset val="128"/>
      </rPr>
      <t>23</t>
    </r>
    <r>
      <rPr>
        <sz val="11"/>
        <color theme="1"/>
        <rFont val="Meiryo UI"/>
        <family val="2"/>
        <charset val="128"/>
      </rPr>
      <t/>
    </r>
  </si>
  <si>
    <r>
      <t>#</t>
    </r>
    <r>
      <rPr>
        <sz val="9"/>
        <color theme="1"/>
        <rFont val="Meiryo UI"/>
        <family val="2"/>
        <charset val="128"/>
      </rPr>
      <t>25</t>
    </r>
    <r>
      <rPr>
        <sz val="11"/>
        <color theme="1"/>
        <rFont val="Meiryo UI"/>
        <family val="2"/>
        <charset val="128"/>
      </rPr>
      <t/>
    </r>
  </si>
  <si>
    <r>
      <t>#</t>
    </r>
    <r>
      <rPr>
        <sz val="9"/>
        <color theme="1"/>
        <rFont val="Meiryo UI"/>
        <family val="2"/>
        <charset val="128"/>
      </rPr>
      <t>27</t>
    </r>
    <r>
      <rPr>
        <sz val="11"/>
        <color theme="1"/>
        <rFont val="Meiryo UI"/>
        <family val="2"/>
        <charset val="128"/>
      </rPr>
      <t/>
    </r>
  </si>
  <si>
    <r>
      <t>#</t>
    </r>
    <r>
      <rPr>
        <sz val="9"/>
        <color theme="1"/>
        <rFont val="Meiryo UI"/>
        <family val="2"/>
        <charset val="128"/>
      </rPr>
      <t>29</t>
    </r>
    <r>
      <rPr>
        <sz val="11"/>
        <color theme="1"/>
        <rFont val="Meiryo UI"/>
        <family val="2"/>
        <charset val="128"/>
      </rPr>
      <t/>
    </r>
  </si>
  <si>
    <r>
      <rPr>
        <sz val="9"/>
        <color rgb="FF000000"/>
        <rFont val="Meiryo UI"/>
        <family val="3"/>
      </rPr>
      <t>費目</t>
    </r>
    <rPh sb="0" eb="2">
      <t>ヒモク</t>
    </rPh>
    <phoneticPr fontId="0"/>
  </si>
  <si>
    <r>
      <rPr>
        <sz val="9"/>
        <color rgb="FF000000"/>
        <rFont val="Meiryo UI"/>
        <family val="3"/>
      </rPr>
      <t>種別</t>
    </r>
    <rPh sb="0" eb="2">
      <t>シュベツ</t>
    </rPh>
    <phoneticPr fontId="0"/>
  </si>
  <si>
    <r>
      <rPr>
        <sz val="9"/>
        <color rgb="FF000000"/>
        <rFont val="Meiryo UI"/>
        <family val="3"/>
      </rPr>
      <t>品名等</t>
    </r>
    <rPh sb="0" eb="2">
      <t>ヒンメイ</t>
    </rPh>
    <rPh sb="2" eb="3">
      <t>トウ</t>
    </rPh>
    <phoneticPr fontId="0"/>
  </si>
  <si>
    <r>
      <rPr>
        <sz val="9"/>
        <color theme="1"/>
        <rFont val="Meiryo UI"/>
        <family val="3"/>
      </rPr>
      <t>単価</t>
    </r>
    <rPh sb="0" eb="2">
      <t>タンカ</t>
    </rPh>
    <phoneticPr fontId="0"/>
  </si>
  <si>
    <r>
      <rPr>
        <sz val="9"/>
        <color theme="1"/>
        <rFont val="Meiryo UI"/>
        <family val="3"/>
      </rPr>
      <t>数量</t>
    </r>
    <rPh sb="0" eb="2">
      <t>スウリョウ</t>
    </rPh>
    <phoneticPr fontId="0"/>
  </si>
  <si>
    <r>
      <rPr>
        <sz val="9"/>
        <color theme="1"/>
        <rFont val="Meiryo UI"/>
        <family val="3"/>
      </rPr>
      <t>予算額</t>
    </r>
    <rPh sb="0" eb="2">
      <t>ヨサン</t>
    </rPh>
    <phoneticPr fontId="0"/>
  </si>
  <si>
    <r>
      <rPr>
        <sz val="9"/>
        <color theme="1"/>
        <rFont val="Meiryo UI"/>
        <family val="3"/>
      </rPr>
      <t>総額</t>
    </r>
    <rPh sb="0" eb="2">
      <t>ソウガク</t>
    </rPh>
    <phoneticPr fontId="0"/>
  </si>
  <si>
    <r>
      <rPr>
        <sz val="9"/>
        <color theme="1"/>
        <rFont val="Meiryo UI"/>
        <family val="3"/>
      </rPr>
      <t xml:space="preserve">使途など
</t>
    </r>
    <r>
      <rPr>
        <sz val="8"/>
        <color theme="1"/>
        <rFont val="Meiryo UI"/>
        <family val="3"/>
      </rPr>
      <t>＊金額内訳は本欄には記入しない</t>
    </r>
    <rPh sb="0" eb="2">
      <t>シト</t>
    </rPh>
    <phoneticPr fontId="0"/>
  </si>
  <si>
    <r>
      <rPr>
        <sz val="9"/>
        <color theme="1"/>
        <rFont val="Meiryo UI"/>
        <family val="3"/>
      </rPr>
      <t>直接経費</t>
    </r>
    <phoneticPr fontId="0"/>
  </si>
  <si>
    <r>
      <rPr>
        <sz val="9"/>
        <color theme="1"/>
        <rFont val="Meiryo UI"/>
        <family val="3"/>
      </rPr>
      <t>その他　追加枠</t>
    </r>
    <phoneticPr fontId="0"/>
  </si>
  <si>
    <r>
      <rPr>
        <sz val="9"/>
        <color theme="1"/>
        <rFont val="Meiryo UI"/>
        <family val="2"/>
      </rPr>
      <t>○○の実験試薬</t>
    </r>
    <phoneticPr fontId="0"/>
  </si>
  <si>
    <r>
      <rPr>
        <sz val="9"/>
        <color theme="1"/>
        <rFont val="Meiryo UI"/>
        <family val="3"/>
      </rPr>
      <t>○○の実験</t>
    </r>
    <phoneticPr fontId="0"/>
  </si>
  <si>
    <r>
      <rPr>
        <sz val="9"/>
        <color theme="1"/>
        <rFont val="Meiryo UI"/>
        <family val="3"/>
      </rPr>
      <t>○○実験動画作成費用（（株）○○へ外注）</t>
    </r>
    <phoneticPr fontId="0"/>
  </si>
  <si>
    <r>
      <rPr>
        <sz val="9"/>
        <color theme="1"/>
        <rFont val="Meiryo UI"/>
        <family val="3"/>
      </rPr>
      <t>招へい前後に実施するオンライン交流において使用</t>
    </r>
    <phoneticPr fontId="0"/>
  </si>
  <si>
    <r>
      <rPr>
        <sz val="10"/>
        <color theme="0" tint="-0.499984740745262"/>
        <rFont val="Meiryo UI"/>
        <family val="3"/>
        <charset val="128"/>
      </rPr>
      <t>【プログラム経費の追加費用を申請する場合は必須】プログラム経費　その他に関する追加費用明細</t>
    </r>
    <rPh sb="6" eb="8">
      <t>ケイヒ</t>
    </rPh>
    <rPh sb="9" eb="11">
      <t>ツイカ</t>
    </rPh>
    <rPh sb="11" eb="13">
      <t>ヒヨウ</t>
    </rPh>
    <rPh sb="14" eb="16">
      <t>シンセイ</t>
    </rPh>
    <rPh sb="18" eb="20">
      <t>バアイ</t>
    </rPh>
    <rPh sb="29" eb="31">
      <t>ケイヒ</t>
    </rPh>
    <rPh sb="34" eb="35">
      <t>ホカ</t>
    </rPh>
    <rPh sb="36" eb="37">
      <t>カン</t>
    </rPh>
    <rPh sb="39" eb="41">
      <t>ツイカ</t>
    </rPh>
    <rPh sb="41" eb="43">
      <t>ヒヨウ</t>
    </rPh>
    <rPh sb="43" eb="45">
      <t>メイサイ</t>
    </rPh>
    <phoneticPr fontId="0"/>
  </si>
  <si>
    <r>
      <t xml:space="preserve">
〇実施協定書で定める発効日以前に発注
　　した経費は計上できません。
〇計上した経費は、プログラム終了後61日以内
　 または2026年3月13日のいずれか早い日までに、 
　 支払いを完了する必要があります。
〇第三者への業務の全面的な委託はできません。
　 一部委託する場合は契約時に理由書を提出してください。
○不課税取引等となる対象費目
　（例：渡航費、謝金等）が含まれる場合には、
　 各機関の取扱いを確認のうえ、不課税取引等に係る
　 消費税相当額を直接経費に計上することができます。
○受入れ機関が免税事業者の場合は、消費税相当額は
　 計上することはできません。
</t>
    </r>
    <r>
      <rPr>
        <b/>
        <sz val="10"/>
        <color rgb="FFFF0000"/>
        <rFont val="Meiryo UI"/>
        <family val="3"/>
        <charset val="128"/>
      </rPr>
      <t>※赤塗りつぶしで表示された箇所は計上金額を
　超過していますので、修正してください。</t>
    </r>
    <rPh sb="298" eb="299">
      <t>アカ</t>
    </rPh>
    <rPh sb="299" eb="300">
      <t>ヌ</t>
    </rPh>
    <rPh sb="305" eb="307">
      <t>ヒョウジ</t>
    </rPh>
    <rPh sb="310" eb="312">
      <t>カショ</t>
    </rPh>
    <rPh sb="313" eb="315">
      <t>ケイジョウ</t>
    </rPh>
    <rPh sb="315" eb="317">
      <t>キンガク</t>
    </rPh>
    <rPh sb="320" eb="322">
      <t>チョウカ</t>
    </rPh>
    <rPh sb="330" eb="332">
      <t>シュウセイ</t>
    </rPh>
    <phoneticPr fontId="14"/>
  </si>
  <si>
    <t>※以下の条件の下で「プログラム経費　その他」の費目の追加枠として、基礎枠の上限額を超える必要経費の
　 申請を可能とします。
　　　〇科学技術体験コース（Aコース）：
　　　　オンライン交流に係る費用のために上限を超える場合
　　　〇共同研究活動コース（Ｂコース）および科学技術研修コース（Ｃコース）：
　　　　共同研究活動・研修実施に必須の消耗品あるいはオンライン交流に係る費用のために上限を超える場合
※招へい前後に実施するオンライン交流における通訳者・講師・講演者、TA・アルバイトの謝金を計上する場合は
　 追加費用ではなく通常の謝金欄に計上してください。
※新型コロナウイルス感染症等の感染予防に係る消耗品は追加費用には計上できません（基礎枠には計上可）。</t>
    <phoneticPr fontId="14"/>
  </si>
  <si>
    <t xml:space="preserve">交流のテーマ・目的、趣旨・大幅なプログラム内容の変更【※】 </t>
    <rPh sb="13" eb="15">
      <t>オオハバ</t>
    </rPh>
    <rPh sb="21" eb="23">
      <t>ナイヨウ</t>
    </rPh>
    <phoneticPr fontId="14"/>
  </si>
  <si>
    <t xml:space="preserve">交流のテーマ・目的、趣旨・大幅なプログラム内容の変更【※】 </t>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</si>
</sst>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176" formatCode="yyyy/m/d;@"/>
    <numFmt numFmtId="177" formatCode="0_ "/>
    <numFmt numFmtId="178" formatCode="m&quot;月&quot;d&quot;日&quot;\(aaa\)"/>
    <numFmt numFmtId="179" formatCode="0&quot;日間&quot;\ "/>
    <numFmt numFmtId="180" formatCode="0&quot;人&quot;"/>
    <numFmt numFmtId="181" formatCode="#,##0&quot;円&quot;"/>
    <numFmt numFmtId="182" formatCode="General&quot;日&quot;&quot;間&quot;"/>
    <numFmt numFmtId="183" formatCode="General&quot;人&quot;"/>
    <numFmt numFmtId="184" formatCode="0&quot; 日間&quot;\ "/>
    <numFmt numFmtId="185" formatCode="General&quot; 人&quot;"/>
    <numFmt numFmtId="186" formatCode="General&quot; 日&quot;&quot;間&quot;"/>
    <numFmt numFmtId="187" formatCode="yyyy/m/d\ &quot;ま&quot;&quot;で&quot;"/>
    <numFmt numFmtId="188" formatCode="#,##0_ ;[Red]\-#,##0\ "/>
    <numFmt numFmtId="189" formatCode="#,##0&quot;円/人・日&quot;"/>
    <numFmt numFmtId="190" formatCode="#,##0_);[Red]\(#,##0\)"/>
    <numFmt numFmtId="191" formatCode="#,##0_ "/>
    <numFmt numFmtId="192" formatCode="yyyy&quot;年&quot;m&quot;月&quot;d&quot;日&quot;\(aaa\)"/>
    <numFmt numFmtId="193" formatCode="General&quot;日&quot;&quot;以&quot;&quot;内&quot;"/>
    <numFmt numFmtId="194" formatCode="General&quot;日以内（※8日以内）&quot;"/>
    <numFmt numFmtId="195" formatCode="\(General&quot;人&quot;\)"/>
    <numFmt numFmtId="196" formatCode="&quot;送出し機関：　&quot;General&quot;機関&quot;"/>
    <numFmt numFmtId="197" formatCode="&quot;送出し機関：&quot;General&quot;機関（うち引率者）&quot;"/>
    <numFmt numFmtId="198" formatCode="m/d;@"/>
    <numFmt numFmtId="199" formatCode="General&quot;日間&quot;"/>
    <numFmt numFmtId="200" formatCode="&quot;～&quot;m/d;@"/>
  </numFmts>
  <fonts count="83">
    <font>
      <sz val="11"/>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6"/>
      <name val="Meiryo UI"/>
      <family val="2"/>
      <charset val="128"/>
    </font>
    <font>
      <sz val="9"/>
      <color theme="1"/>
      <name val="Meiryo UI"/>
      <family val="2"/>
      <charset val="128"/>
    </font>
    <font>
      <sz val="10"/>
      <color theme="1"/>
      <name val="Meiryo UI"/>
      <family val="2"/>
      <charset val="128"/>
    </font>
    <font>
      <sz val="10"/>
      <color theme="1"/>
      <name val="Meiryo UI"/>
      <family val="3"/>
      <charset val="128"/>
    </font>
    <font>
      <sz val="9"/>
      <color theme="1"/>
      <name val="Meiryo UI"/>
      <family val="3"/>
      <charset val="128"/>
    </font>
    <font>
      <sz val="8"/>
      <color theme="1"/>
      <name val="Meiryo UI"/>
      <family val="3"/>
      <charset val="128"/>
    </font>
    <font>
      <b/>
      <sz val="11"/>
      <color theme="1"/>
      <name val="Meiryo UI"/>
      <family val="3"/>
      <charset val="128"/>
    </font>
    <font>
      <b/>
      <sz val="9"/>
      <color theme="1"/>
      <name val="Meiryo UI"/>
      <family val="3"/>
      <charset val="128"/>
    </font>
    <font>
      <sz val="6"/>
      <name val="ＭＳ Ｐゴシック"/>
      <family val="3"/>
      <charset val="128"/>
    </font>
    <font>
      <sz val="11"/>
      <color theme="1"/>
      <name val="Meiryo UI"/>
      <family val="3"/>
      <charset val="128"/>
    </font>
    <font>
      <sz val="10"/>
      <color rgb="FFFF0000"/>
      <name val="Meiryo UI"/>
      <family val="3"/>
      <charset val="128"/>
    </font>
    <font>
      <sz val="7"/>
      <color theme="1"/>
      <name val="Meiryo UI"/>
      <family val="3"/>
      <charset val="128"/>
    </font>
    <font>
      <sz val="8"/>
      <color theme="1"/>
      <name val="Meiryo UI"/>
      <family val="2"/>
      <charset val="128"/>
    </font>
    <font>
      <sz val="10"/>
      <name val="Meiryo UI"/>
      <family val="3"/>
      <charset val="128"/>
    </font>
    <font>
      <sz val="9"/>
      <name val="Meiryo UI"/>
      <family val="3"/>
      <charset val="128"/>
    </font>
    <font>
      <sz val="11"/>
      <color theme="1"/>
      <name val="Meiryo UI"/>
      <family val="2"/>
      <charset val="128"/>
    </font>
    <font>
      <sz val="11"/>
      <color rgb="FF006100"/>
      <name val="Meiryo UI"/>
      <family val="2"/>
      <charset val="128"/>
    </font>
    <font>
      <sz val="7.5"/>
      <color theme="1"/>
      <name val="Meiryo UI"/>
      <family val="3"/>
      <charset val="128"/>
    </font>
    <font>
      <b/>
      <sz val="10"/>
      <color theme="1"/>
      <name val="Meiryo UI"/>
      <family val="3"/>
      <charset val="128"/>
    </font>
    <font>
      <sz val="8"/>
      <name val="Meiryo UI"/>
      <family val="3"/>
      <charset val="128"/>
    </font>
    <font>
      <sz val="9"/>
      <color rgb="FFFF0000"/>
      <name val="Meiryo UI"/>
      <family val="3"/>
      <charset val="128"/>
    </font>
    <font>
      <b/>
      <sz val="10"/>
      <color rgb="FFFF0000"/>
      <name val="Meiryo UI"/>
      <family val="3"/>
      <charset val="128"/>
    </font>
    <font>
      <sz val="7.5"/>
      <color rgb="FFFF0000"/>
      <name val="Meiryo UI"/>
      <family val="3"/>
      <charset val="128"/>
    </font>
    <font>
      <sz val="12"/>
      <color theme="1"/>
      <name val="Meiryo UI"/>
      <family val="2"/>
      <charset val="128"/>
    </font>
    <font>
      <sz val="8"/>
      <color rgb="FFFF0000"/>
      <name val="Meiryo UI"/>
      <family val="3"/>
      <charset val="128"/>
    </font>
    <font>
      <b/>
      <sz val="9"/>
      <color rgb="FFFF0000"/>
      <name val="Meiryo UI"/>
      <family val="3"/>
      <charset val="128"/>
    </font>
    <font>
      <b/>
      <sz val="10"/>
      <name val="Meiryo UI"/>
      <family val="3"/>
      <charset val="128"/>
    </font>
    <font>
      <b/>
      <sz val="9"/>
      <name val="Meiryo UI"/>
      <family val="3"/>
      <charset val="128"/>
    </font>
    <font>
      <sz val="11"/>
      <name val="Meiryo UI"/>
      <family val="3"/>
      <charset val="128"/>
    </font>
    <font>
      <b/>
      <sz val="11"/>
      <name val="Meiryo UI"/>
      <family val="3"/>
      <charset val="128"/>
    </font>
    <font>
      <b/>
      <sz val="11"/>
      <color rgb="FF0070C0"/>
      <name val="Meiryo UI"/>
      <family val="3"/>
      <charset val="128"/>
    </font>
    <font>
      <b/>
      <sz val="11"/>
      <color rgb="FFFF0000"/>
      <name val="Meiryo UI"/>
      <family val="3"/>
      <charset val="128"/>
    </font>
    <font>
      <b/>
      <sz val="18"/>
      <name val="Meiryo UI"/>
      <family val="3"/>
      <charset val="128"/>
    </font>
    <font>
      <b/>
      <sz val="12"/>
      <color rgb="FF0070C0"/>
      <name val="Meiryo UI"/>
      <family val="3"/>
      <charset val="128"/>
    </font>
    <font>
      <sz val="6"/>
      <name val="游ゴシック"/>
      <family val="2"/>
      <charset val="128"/>
      <scheme val="minor"/>
    </font>
    <font>
      <sz val="9"/>
      <color theme="1"/>
      <name val="SimSun"/>
    </font>
    <font>
      <b/>
      <sz val="11"/>
      <color rgb="FFFFFF99"/>
      <name val="Meiryo UI"/>
      <family val="3"/>
      <charset val="128"/>
    </font>
    <font>
      <b/>
      <sz val="7"/>
      <name val="Meiryo UI"/>
      <family val="3"/>
      <charset val="128"/>
    </font>
    <font>
      <sz val="11"/>
      <color theme="0"/>
      <name val="Meiryo UI"/>
      <family val="2"/>
      <charset val="128"/>
    </font>
    <font>
      <b/>
      <sz val="12"/>
      <name val="Meiryo UI"/>
      <family val="3"/>
      <charset val="128"/>
    </font>
    <font>
      <b/>
      <sz val="8"/>
      <color rgb="FFFF0000"/>
      <name val="Meiryo UI"/>
      <family val="3"/>
      <charset val="128"/>
    </font>
    <font>
      <sz val="10"/>
      <color rgb="FFFF0000"/>
      <name val="Meiryo UI"/>
      <family val="2"/>
      <charset val="128"/>
    </font>
    <font>
      <sz val="8"/>
      <color theme="0" tint="-0.499984740745262"/>
      <name val="Meiryo UI"/>
      <family val="2"/>
      <charset val="128"/>
    </font>
    <font>
      <sz val="12"/>
      <name val="Meiryo UI"/>
      <family val="3"/>
      <charset val="128"/>
    </font>
    <font>
      <b/>
      <sz val="8"/>
      <name val="Meiryo UI"/>
      <family val="3"/>
      <charset val="128"/>
    </font>
    <font>
      <sz val="7"/>
      <name val="Meiryo UI"/>
      <family val="3"/>
      <charset val="128"/>
    </font>
    <font>
      <sz val="8"/>
      <color theme="0" tint="-0.499984740745262"/>
      <name val="Meiryo UI"/>
      <family val="3"/>
      <charset val="128"/>
    </font>
    <font>
      <b/>
      <sz val="10"/>
      <color theme="0" tint="-0.34998626667073579"/>
      <name val="Meiryo UI"/>
      <family val="3"/>
      <charset val="128"/>
    </font>
    <font>
      <u/>
      <sz val="9"/>
      <color rgb="FFFF0000"/>
      <name val="Meiryo UI"/>
      <family val="3"/>
      <charset val="128"/>
    </font>
    <font>
      <u/>
      <sz val="9"/>
      <name val="Meiryo UI"/>
      <family val="3"/>
      <charset val="128"/>
    </font>
    <font>
      <b/>
      <u/>
      <sz val="9"/>
      <color theme="1"/>
      <name val="Meiryo UI"/>
      <family val="3"/>
      <charset val="128"/>
    </font>
    <font>
      <sz val="9"/>
      <color theme="1"/>
      <name val="Meiryo UI"/>
      <family val="2"/>
    </font>
    <font>
      <b/>
      <sz val="11"/>
      <color theme="1" tint="0.34998626667073579"/>
      <name val="Meiryo UI"/>
      <family val="3"/>
      <charset val="128"/>
    </font>
    <font>
      <sz val="10"/>
      <color theme="1" tint="0.34998626667073579"/>
      <name val="Meiryo UI"/>
      <family val="3"/>
      <charset val="128"/>
    </font>
    <font>
      <b/>
      <sz val="10"/>
      <color theme="1" tint="0.34998626667073579"/>
      <name val="Meiryo UI"/>
      <family val="3"/>
      <charset val="128"/>
    </font>
    <font>
      <sz val="11"/>
      <color theme="1" tint="0.34998626667073579"/>
      <name val="Meiryo UI"/>
      <family val="3"/>
      <charset val="128"/>
    </font>
    <font>
      <sz val="9"/>
      <color theme="1" tint="0.34998626667073579"/>
      <name val="Meiryo UI"/>
      <family val="2"/>
      <charset val="128"/>
    </font>
    <font>
      <sz val="9"/>
      <color theme="1" tint="0.34998626667073579"/>
      <name val="Meiryo UI"/>
      <family val="3"/>
      <charset val="128"/>
    </font>
    <font>
      <b/>
      <sz val="9"/>
      <color theme="1" tint="0.34998626667073579"/>
      <name val="Meiryo UI"/>
      <family val="3"/>
      <charset val="128"/>
    </font>
    <font>
      <sz val="9"/>
      <color theme="1"/>
      <name val="ＭＳ Ｐゴシック"/>
      <family val="3"/>
      <charset val="128"/>
    </font>
    <font>
      <sz val="9"/>
      <color theme="1" tint="0.499984740745262"/>
      <name val="Meiryo UI"/>
      <family val="2"/>
      <charset val="128"/>
    </font>
    <font>
      <sz val="6"/>
      <color theme="1"/>
      <name val="Meiryo UI"/>
      <family val="3"/>
      <charset val="128"/>
    </font>
    <font>
      <b/>
      <u/>
      <sz val="9"/>
      <color rgb="FFFF0000"/>
      <name val="Meiryo UI"/>
      <family val="3"/>
      <charset val="128"/>
    </font>
    <font>
      <b/>
      <u/>
      <sz val="9"/>
      <color theme="1" tint="0.34998626667073579"/>
      <name val="Meiryo UI"/>
      <family val="3"/>
      <charset val="128"/>
    </font>
    <font>
      <sz val="9"/>
      <color rgb="FF000000"/>
      <name val="Meiryo UI"/>
      <family val="3"/>
    </font>
    <font>
      <sz val="9"/>
      <color theme="1"/>
      <name val="Meiryo UI"/>
      <family val="3"/>
    </font>
    <font>
      <sz val="8"/>
      <color theme="1"/>
      <name val="Meiryo UI"/>
      <family val="3"/>
    </font>
    <font>
      <sz val="10"/>
      <color theme="0" tint="-0.499984740745262"/>
      <name val="Meiryo UI"/>
      <family val="3"/>
    </font>
    <font>
      <sz val="10"/>
      <color theme="0" tint="-0.499984740745262"/>
      <name val="Meiryo UI"/>
      <family val="3"/>
      <charset val="128"/>
    </font>
  </fonts>
  <fills count="11">
    <fill>
      <patternFill patternType="none"/>
    </fill>
    <fill>
      <patternFill patternType="gray125"/>
    </fill>
    <fill>
      <patternFill patternType="solid">
        <fgColor rgb="FF99CCFF"/>
        <bgColor indexed="64"/>
      </patternFill>
    </fill>
    <fill>
      <patternFill patternType="solid">
        <fgColor rgb="FFCCECFF"/>
        <bgColor indexed="64"/>
      </patternFill>
    </fill>
    <fill>
      <patternFill patternType="solid">
        <fgColor rgb="FFFFCC99"/>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rgb="FFFFCCFF"/>
        <bgColor indexed="64"/>
      </patternFill>
    </fill>
    <fill>
      <patternFill patternType="solid">
        <fgColor theme="0" tint="-0.249977111117893"/>
        <bgColor indexed="64"/>
      </patternFill>
    </fill>
    <fill>
      <patternFill patternType="solid">
        <fgColor theme="0" tint="-0.14999847407452621"/>
        <bgColor indexed="64"/>
      </patternFill>
    </fill>
  </fills>
  <borders count="189">
    <border>
      <left/>
      <right/>
      <top/>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right/>
      <top style="hair">
        <color auto="1"/>
      </top>
      <bottom style="hair">
        <color auto="1"/>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auto="1"/>
      </left>
      <right/>
      <top style="thin">
        <color indexed="64"/>
      </top>
      <bottom style="hair">
        <color auto="1"/>
      </bottom>
      <diagonal/>
    </border>
    <border>
      <left style="hair">
        <color auto="1"/>
      </left>
      <right style="hair">
        <color auto="1"/>
      </right>
      <top style="thin">
        <color indexed="64"/>
      </top>
      <bottom style="hair">
        <color auto="1"/>
      </bottom>
      <diagonal/>
    </border>
    <border>
      <left/>
      <right/>
      <top style="thin">
        <color indexed="64"/>
      </top>
      <bottom style="hair">
        <color auto="1"/>
      </bottom>
      <diagonal/>
    </border>
    <border>
      <left/>
      <right/>
      <top/>
      <bottom style="hair">
        <color auto="1"/>
      </bottom>
      <diagonal/>
    </border>
    <border>
      <left style="thin">
        <color indexed="64"/>
      </left>
      <right style="hair">
        <color auto="1"/>
      </right>
      <top style="thin">
        <color indexed="64"/>
      </top>
      <bottom style="hair">
        <color auto="1"/>
      </bottom>
      <diagonal/>
    </border>
    <border>
      <left/>
      <right style="thin">
        <color indexed="64"/>
      </right>
      <top style="thin">
        <color indexed="64"/>
      </top>
      <bottom style="hair">
        <color auto="1"/>
      </bottom>
      <diagonal/>
    </border>
    <border>
      <left style="thin">
        <color indexed="64"/>
      </left>
      <right style="hair">
        <color auto="1"/>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hair">
        <color auto="1"/>
      </right>
      <top/>
      <bottom style="thin">
        <color indexed="64"/>
      </bottom>
      <diagonal/>
    </border>
    <border>
      <left style="thin">
        <color indexed="64"/>
      </left>
      <right style="hair">
        <color auto="1"/>
      </right>
      <top style="hair">
        <color auto="1"/>
      </top>
      <bottom style="hair">
        <color auto="1"/>
      </bottom>
      <diagonal/>
    </border>
    <border>
      <left/>
      <right style="thin">
        <color indexed="64"/>
      </right>
      <top style="hair">
        <color auto="1"/>
      </top>
      <bottom style="hair">
        <color auto="1"/>
      </bottom>
      <diagonal/>
    </border>
    <border>
      <left style="hair">
        <color auto="1"/>
      </left>
      <right/>
      <top style="hair">
        <color auto="1"/>
      </top>
      <bottom style="thin">
        <color indexed="64"/>
      </bottom>
      <diagonal/>
    </border>
    <border>
      <left/>
      <right/>
      <top style="hair">
        <color auto="1"/>
      </top>
      <bottom style="thin">
        <color indexed="64"/>
      </bottom>
      <diagonal/>
    </border>
    <border>
      <left/>
      <right style="thin">
        <color indexed="64"/>
      </right>
      <top style="hair">
        <color auto="1"/>
      </top>
      <bottom style="thin">
        <color indexed="64"/>
      </bottom>
      <diagonal/>
    </border>
    <border>
      <left style="thin">
        <color indexed="64"/>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top style="thin">
        <color indexed="64"/>
      </top>
      <bottom style="thin">
        <color indexed="64"/>
      </bottom>
      <diagonal/>
    </border>
    <border>
      <left/>
      <right style="hair">
        <color auto="1"/>
      </right>
      <top style="hair">
        <color auto="1"/>
      </top>
      <bottom style="thin">
        <color indexed="64"/>
      </bottom>
      <diagonal/>
    </border>
    <border>
      <left/>
      <right/>
      <top/>
      <bottom style="thin">
        <color indexed="64"/>
      </bottom>
      <diagonal/>
    </border>
    <border>
      <left/>
      <right/>
      <top style="hair">
        <color auto="1"/>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auto="1"/>
      </right>
      <top style="thin">
        <color indexed="64"/>
      </top>
      <bottom style="hair">
        <color auto="1"/>
      </bottom>
      <diagonal/>
    </border>
    <border>
      <left style="hair">
        <color auto="1"/>
      </left>
      <right style="thin">
        <color indexed="64"/>
      </right>
      <top style="thin">
        <color indexed="64"/>
      </top>
      <bottom style="hair">
        <color auto="1"/>
      </bottom>
      <diagonal/>
    </border>
    <border>
      <left/>
      <right style="hair">
        <color auto="1"/>
      </right>
      <top/>
      <bottom style="thin">
        <color indexed="64"/>
      </bottom>
      <diagonal/>
    </border>
    <border>
      <left style="hair">
        <color auto="1"/>
      </left>
      <right style="thin">
        <color indexed="64"/>
      </right>
      <top style="hair">
        <color auto="1"/>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auto="1"/>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top style="hair">
        <color indexed="64"/>
      </top>
      <bottom style="hair">
        <color auto="1"/>
      </bottom>
      <diagonal/>
    </border>
    <border>
      <left style="thin">
        <color indexed="64"/>
      </left>
      <right/>
      <top/>
      <bottom style="hair">
        <color auto="1"/>
      </bottom>
      <diagonal/>
    </border>
    <border>
      <left/>
      <right style="thin">
        <color indexed="64"/>
      </right>
      <top/>
      <bottom style="hair">
        <color auto="1"/>
      </bottom>
      <diagonal/>
    </border>
    <border>
      <left style="thin">
        <color indexed="64"/>
      </left>
      <right style="hair">
        <color auto="1"/>
      </right>
      <top style="thin">
        <color indexed="64"/>
      </top>
      <bottom/>
      <diagonal/>
    </border>
    <border>
      <left/>
      <right/>
      <top style="thin">
        <color indexed="64"/>
      </top>
      <bottom/>
      <diagonal/>
    </border>
    <border>
      <left/>
      <right style="thin">
        <color auto="1"/>
      </right>
      <top/>
      <bottom/>
      <diagonal/>
    </border>
    <border>
      <left/>
      <right style="thin">
        <color auto="1"/>
      </right>
      <top style="thin">
        <color indexed="64"/>
      </top>
      <bottom/>
      <diagonal/>
    </border>
    <border>
      <left style="thin">
        <color indexed="64"/>
      </left>
      <right/>
      <top style="thin">
        <color indexed="64"/>
      </top>
      <bottom/>
      <diagonal/>
    </border>
    <border>
      <left style="thin">
        <color indexed="64"/>
      </left>
      <right style="hair">
        <color auto="1"/>
      </right>
      <top/>
      <bottom style="hair">
        <color auto="1"/>
      </bottom>
      <diagonal/>
    </border>
    <border>
      <left style="hair">
        <color auto="1"/>
      </left>
      <right style="hair">
        <color auto="1"/>
      </right>
      <top/>
      <bottom style="hair">
        <color auto="1"/>
      </bottom>
      <diagonal/>
    </border>
    <border>
      <left/>
      <right style="thin">
        <color indexed="64"/>
      </right>
      <top style="hair">
        <color auto="1"/>
      </top>
      <bottom/>
      <diagonal/>
    </border>
    <border>
      <left/>
      <right style="hair">
        <color auto="1"/>
      </right>
      <top/>
      <bottom/>
      <diagonal/>
    </border>
    <border>
      <left style="hair">
        <color auto="1"/>
      </left>
      <right/>
      <top style="thin">
        <color indexed="64"/>
      </top>
      <bottom/>
      <diagonal/>
    </border>
    <border>
      <left style="hair">
        <color auto="1"/>
      </left>
      <right/>
      <top/>
      <bottom/>
      <diagonal/>
    </border>
    <border>
      <left style="hair">
        <color auto="1"/>
      </left>
      <right/>
      <top/>
      <bottom style="thin">
        <color indexed="64"/>
      </bottom>
      <diagonal/>
    </border>
    <border>
      <left style="thin">
        <color auto="1"/>
      </left>
      <right/>
      <top/>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double">
        <color indexed="64"/>
      </bottom>
      <diagonal/>
    </border>
    <border>
      <left style="hair">
        <color auto="1"/>
      </left>
      <right style="thin">
        <color indexed="64"/>
      </right>
      <top style="thin">
        <color indexed="64"/>
      </top>
      <bottom style="thin">
        <color indexed="64"/>
      </bottom>
      <diagonal/>
    </border>
    <border diagonalUp="1">
      <left style="hair">
        <color auto="1"/>
      </left>
      <right style="hair">
        <color auto="1"/>
      </right>
      <top style="thin">
        <color indexed="64"/>
      </top>
      <bottom style="thin">
        <color indexed="64"/>
      </bottom>
      <diagonal style="hair">
        <color auto="1"/>
      </diagonal>
    </border>
    <border>
      <left/>
      <right style="hair">
        <color auto="1"/>
      </right>
      <top style="thin">
        <color indexed="64"/>
      </top>
      <bottom style="thin">
        <color indexed="64"/>
      </bottom>
      <diagonal/>
    </border>
    <border>
      <left style="thin">
        <color indexed="64"/>
      </left>
      <right style="hair">
        <color auto="1"/>
      </right>
      <top/>
      <bottom/>
      <diagonal/>
    </border>
    <border>
      <left style="hair">
        <color indexed="64"/>
      </left>
      <right style="thin">
        <color indexed="64"/>
      </right>
      <top style="thin">
        <color indexed="64"/>
      </top>
      <bottom/>
      <diagonal/>
    </border>
    <border>
      <left style="hair">
        <color auto="1"/>
      </left>
      <right style="hair">
        <color auto="1"/>
      </right>
      <top/>
      <bottom/>
      <diagonal/>
    </border>
    <border>
      <left style="hair">
        <color auto="1"/>
      </left>
      <right style="hair">
        <color auto="1"/>
      </right>
      <top style="hair">
        <color auto="1"/>
      </top>
      <bottom/>
      <diagonal/>
    </border>
    <border>
      <left style="hair">
        <color auto="1"/>
      </left>
      <right/>
      <top style="hair">
        <color auto="1"/>
      </top>
      <bottom/>
      <diagonal/>
    </border>
    <border>
      <left style="hair">
        <color auto="1"/>
      </left>
      <right/>
      <top style="double">
        <color auto="1"/>
      </top>
      <bottom style="hair">
        <color auto="1"/>
      </bottom>
      <diagonal/>
    </border>
    <border>
      <left/>
      <right/>
      <top style="double">
        <color auto="1"/>
      </top>
      <bottom style="hair">
        <color auto="1"/>
      </bottom>
      <diagonal/>
    </border>
    <border>
      <left/>
      <right style="thin">
        <color indexed="64"/>
      </right>
      <top style="double">
        <color auto="1"/>
      </top>
      <bottom style="hair">
        <color auto="1"/>
      </bottom>
      <diagonal/>
    </border>
    <border>
      <left style="hair">
        <color auto="1"/>
      </left>
      <right/>
      <top style="hair">
        <color auto="1"/>
      </top>
      <bottom style="double">
        <color auto="1"/>
      </bottom>
      <diagonal/>
    </border>
    <border>
      <left style="thin">
        <color indexed="64"/>
      </left>
      <right style="hair">
        <color auto="1"/>
      </right>
      <top style="double">
        <color auto="1"/>
      </top>
      <bottom/>
      <diagonal/>
    </border>
    <border>
      <left style="thin">
        <color indexed="64"/>
      </left>
      <right/>
      <top style="hair">
        <color auto="1"/>
      </top>
      <bottom/>
      <diagonal/>
    </border>
    <border diagonalUp="1">
      <left style="hair">
        <color auto="1"/>
      </left>
      <right style="thin">
        <color indexed="64"/>
      </right>
      <top/>
      <bottom style="thin">
        <color indexed="64"/>
      </bottom>
      <diagonal style="hair">
        <color indexed="64"/>
      </diagonal>
    </border>
    <border>
      <left/>
      <right style="thin">
        <color indexed="64"/>
      </right>
      <top style="thin">
        <color indexed="64"/>
      </top>
      <bottom style="double">
        <color auto="1"/>
      </bottom>
      <diagonal/>
    </border>
    <border>
      <left style="hair">
        <color auto="1"/>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double">
        <color indexed="64"/>
      </bottom>
      <diagonal/>
    </border>
    <border>
      <left style="thin">
        <color indexed="64"/>
      </left>
      <right style="thin">
        <color indexed="64"/>
      </right>
      <top style="hair">
        <color indexed="64"/>
      </top>
      <bottom style="thin">
        <color indexed="64"/>
      </bottom>
      <diagonal/>
    </border>
    <border>
      <left style="hair">
        <color auto="1"/>
      </left>
      <right style="thin">
        <color indexed="64"/>
      </right>
      <top/>
      <bottom style="hair">
        <color auto="1"/>
      </bottom>
      <diagonal/>
    </border>
    <border>
      <left style="hair">
        <color auto="1"/>
      </left>
      <right style="hair">
        <color auto="1"/>
      </right>
      <top style="double">
        <color indexed="64"/>
      </top>
      <bottom style="hair">
        <color auto="1"/>
      </bottom>
      <diagonal/>
    </border>
    <border>
      <left style="hair">
        <color auto="1"/>
      </left>
      <right style="hair">
        <color auto="1"/>
      </right>
      <top/>
      <bottom style="double">
        <color indexed="64"/>
      </bottom>
      <diagonal/>
    </border>
    <border diagonalUp="1">
      <left style="hair">
        <color auto="1"/>
      </left>
      <right style="thin">
        <color indexed="64"/>
      </right>
      <top/>
      <bottom/>
      <diagonal style="hair">
        <color auto="1"/>
      </diagonal>
    </border>
    <border>
      <left style="hair">
        <color indexed="64"/>
      </left>
      <right style="hair">
        <color auto="1"/>
      </right>
      <top style="thin">
        <color indexed="64"/>
      </top>
      <bottom/>
      <diagonal/>
    </border>
    <border>
      <left/>
      <right style="hair">
        <color auto="1"/>
      </right>
      <top/>
      <bottom style="double">
        <color auto="1"/>
      </bottom>
      <diagonal/>
    </border>
    <border>
      <left style="thin">
        <color indexed="64"/>
      </left>
      <right style="hair">
        <color indexed="64"/>
      </right>
      <top style="thin">
        <color indexed="64"/>
      </top>
      <bottom style="double">
        <color indexed="64"/>
      </bottom>
      <diagonal/>
    </border>
    <border>
      <left style="hair">
        <color auto="1"/>
      </left>
      <right style="thin">
        <color indexed="64"/>
      </right>
      <top style="thin">
        <color indexed="64"/>
      </top>
      <bottom style="double">
        <color indexed="64"/>
      </bottom>
      <diagonal/>
    </border>
    <border>
      <left/>
      <right style="thin">
        <color indexed="64"/>
      </right>
      <top/>
      <bottom style="double">
        <color indexed="64"/>
      </bottom>
      <diagonal/>
    </border>
    <border>
      <left style="thin">
        <color indexed="64"/>
      </left>
      <right style="hair">
        <color auto="1"/>
      </right>
      <top style="hair">
        <color auto="1"/>
      </top>
      <bottom style="double">
        <color indexed="64"/>
      </bottom>
      <diagonal/>
    </border>
    <border>
      <left style="hair">
        <color auto="1"/>
      </left>
      <right style="thin">
        <color indexed="64"/>
      </right>
      <top style="hair">
        <color auto="1"/>
      </top>
      <bottom style="double">
        <color indexed="64"/>
      </bottom>
      <diagonal/>
    </border>
    <border>
      <left style="hair">
        <color auto="1"/>
      </left>
      <right style="hair">
        <color auto="1"/>
      </right>
      <top style="hair">
        <color auto="1"/>
      </top>
      <bottom style="double">
        <color indexed="64"/>
      </bottom>
      <diagonal/>
    </border>
    <border>
      <left style="hair">
        <color auto="1"/>
      </left>
      <right/>
      <top style="thin">
        <color indexed="64"/>
      </top>
      <bottom style="double">
        <color auto="1"/>
      </bottom>
      <diagonal/>
    </border>
    <border>
      <left/>
      <right style="hair">
        <color auto="1"/>
      </right>
      <top style="thin">
        <color indexed="64"/>
      </top>
      <bottom/>
      <diagonal/>
    </border>
    <border>
      <left style="hair">
        <color indexed="64"/>
      </left>
      <right style="thin">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
      <left style="medium">
        <color indexed="64"/>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thin">
        <color indexed="64"/>
      </top>
      <bottom style="hair">
        <color auto="1"/>
      </bottom>
      <diagonal/>
    </border>
    <border>
      <left style="hair">
        <color auto="1"/>
      </left>
      <right style="medium">
        <color indexed="64"/>
      </right>
      <top style="thin">
        <color indexed="64"/>
      </top>
      <bottom style="hair">
        <color auto="1"/>
      </bottom>
      <diagonal/>
    </border>
    <border>
      <left style="medium">
        <color indexed="64"/>
      </left>
      <right style="hair">
        <color auto="1"/>
      </right>
      <top style="hair">
        <color auto="1"/>
      </top>
      <bottom style="thin">
        <color indexed="64"/>
      </bottom>
      <diagonal/>
    </border>
    <border>
      <left style="hair">
        <color auto="1"/>
      </left>
      <right style="medium">
        <color indexed="64"/>
      </right>
      <top style="hair">
        <color auto="1"/>
      </top>
      <bottom style="thin">
        <color indexed="64"/>
      </bottom>
      <diagonal/>
    </border>
    <border>
      <left style="medium">
        <color indexed="64"/>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style="medium">
        <color indexed="64"/>
      </left>
      <right style="medium">
        <color indexed="64"/>
      </right>
      <top style="medium">
        <color indexed="64"/>
      </top>
      <bottom style="hair">
        <color auto="1"/>
      </bottom>
      <diagonal/>
    </border>
    <border>
      <left style="medium">
        <color indexed="64"/>
      </left>
      <right style="medium">
        <color indexed="64"/>
      </right>
      <top style="hair">
        <color auto="1"/>
      </top>
      <bottom style="hair">
        <color auto="1"/>
      </bottom>
      <diagonal/>
    </border>
    <border>
      <left style="medium">
        <color indexed="64"/>
      </left>
      <right style="medium">
        <color indexed="64"/>
      </right>
      <top style="hair">
        <color auto="1"/>
      </top>
      <bottom style="thin">
        <color indexed="64"/>
      </bottom>
      <diagonal/>
    </border>
    <border>
      <left style="medium">
        <color indexed="64"/>
      </left>
      <right style="medium">
        <color indexed="64"/>
      </right>
      <top/>
      <bottom style="hair">
        <color auto="1"/>
      </bottom>
      <diagonal/>
    </border>
    <border>
      <left style="medium">
        <color indexed="64"/>
      </left>
      <right style="medium">
        <color indexed="64"/>
      </right>
      <top style="hair">
        <color auto="1"/>
      </top>
      <bottom/>
      <diagonal/>
    </border>
    <border>
      <left style="medium">
        <color indexed="64"/>
      </left>
      <right style="medium">
        <color indexed="64"/>
      </right>
      <top style="thin">
        <color indexed="64"/>
      </top>
      <bottom style="hair">
        <color auto="1"/>
      </bottom>
      <diagonal/>
    </border>
    <border>
      <left style="medium">
        <color indexed="64"/>
      </left>
      <right style="medium">
        <color indexed="64"/>
      </right>
      <top style="hair">
        <color auto="1"/>
      </top>
      <bottom style="medium">
        <color indexed="64"/>
      </bottom>
      <diagonal/>
    </border>
    <border diagonalUp="1">
      <left style="thin">
        <color indexed="64"/>
      </left>
      <right/>
      <top style="thin">
        <color indexed="64"/>
      </top>
      <bottom/>
      <diagonal style="hair">
        <color indexed="64"/>
      </diagonal>
    </border>
    <border diagonalUp="1">
      <left/>
      <right/>
      <top style="thin">
        <color indexed="64"/>
      </top>
      <bottom/>
      <diagonal style="hair">
        <color indexed="64"/>
      </diagonal>
    </border>
    <border diagonalUp="1">
      <left/>
      <right style="hair">
        <color auto="1"/>
      </right>
      <top style="thin">
        <color indexed="64"/>
      </top>
      <bottom/>
      <diagonal style="hair">
        <color indexed="64"/>
      </diagonal>
    </border>
    <border diagonalUp="1">
      <left style="thin">
        <color indexed="64"/>
      </left>
      <right/>
      <top/>
      <bottom/>
      <diagonal style="hair">
        <color indexed="64"/>
      </diagonal>
    </border>
    <border diagonalUp="1">
      <left/>
      <right/>
      <top/>
      <bottom/>
      <diagonal style="hair">
        <color indexed="64"/>
      </diagonal>
    </border>
    <border diagonalUp="1">
      <left/>
      <right style="hair">
        <color auto="1"/>
      </right>
      <top/>
      <bottom/>
      <diagonal style="hair">
        <color indexed="64"/>
      </diagonal>
    </border>
    <border diagonalUp="1">
      <left style="medium">
        <color indexed="64"/>
      </left>
      <right/>
      <top style="thin">
        <color indexed="64"/>
      </top>
      <bottom/>
      <diagonal style="hair">
        <color indexed="64"/>
      </diagonal>
    </border>
    <border diagonalUp="1">
      <left/>
      <right style="thin">
        <color indexed="64"/>
      </right>
      <top style="thin">
        <color indexed="64"/>
      </top>
      <bottom/>
      <diagonal style="hair">
        <color indexed="64"/>
      </diagonal>
    </border>
    <border diagonalUp="1">
      <left style="medium">
        <color indexed="64"/>
      </left>
      <right/>
      <top/>
      <bottom/>
      <diagonal style="hair">
        <color indexed="64"/>
      </diagonal>
    </border>
    <border diagonalUp="1">
      <left/>
      <right style="thin">
        <color indexed="64"/>
      </right>
      <top/>
      <bottom/>
      <diagonal style="hair">
        <color indexed="64"/>
      </diagonal>
    </border>
    <border diagonalUp="1">
      <left style="medium">
        <color indexed="64"/>
      </left>
      <right/>
      <top/>
      <bottom style="thin">
        <color indexed="64"/>
      </bottom>
      <diagonal style="hair">
        <color indexed="64"/>
      </diagonal>
    </border>
    <border diagonalUp="1">
      <left/>
      <right style="thin">
        <color indexed="64"/>
      </right>
      <top/>
      <bottom style="thin">
        <color indexed="64"/>
      </bottom>
      <diagonal style="hair">
        <color indexed="64"/>
      </diagonal>
    </border>
    <border diagonalUp="1">
      <left style="thin">
        <color auto="1"/>
      </left>
      <right/>
      <top/>
      <bottom style="thin">
        <color indexed="64"/>
      </bottom>
      <diagonal style="hair">
        <color auto="1"/>
      </diagonal>
    </border>
    <border diagonalUp="1">
      <left/>
      <right/>
      <top/>
      <bottom style="thin">
        <color indexed="64"/>
      </bottom>
      <diagonal style="hair">
        <color auto="1"/>
      </diagonal>
    </border>
    <border diagonalUp="1">
      <left/>
      <right style="hair">
        <color auto="1"/>
      </right>
      <top/>
      <bottom style="thin">
        <color indexed="64"/>
      </bottom>
      <diagonal style="hair">
        <color auto="1"/>
      </diagonal>
    </border>
    <border>
      <left/>
      <right style="medium">
        <color indexed="64"/>
      </right>
      <top style="thin">
        <color indexed="64"/>
      </top>
      <bottom style="hair">
        <color auto="1"/>
      </bottom>
      <diagonal/>
    </border>
    <border>
      <left/>
      <right style="medium">
        <color indexed="64"/>
      </right>
      <top style="hair">
        <color indexed="64"/>
      </top>
      <bottom style="hair">
        <color auto="1"/>
      </bottom>
      <diagonal/>
    </border>
    <border>
      <left style="hair">
        <color auto="1"/>
      </left>
      <right style="medium">
        <color indexed="64"/>
      </right>
      <top/>
      <bottom/>
      <diagonal/>
    </border>
    <border>
      <left style="hair">
        <color auto="1"/>
      </left>
      <right style="medium">
        <color indexed="64"/>
      </right>
      <top style="thin">
        <color indexed="64"/>
      </top>
      <bottom/>
      <diagonal/>
    </border>
    <border>
      <left style="hair">
        <color auto="1"/>
      </left>
      <right style="medium">
        <color indexed="64"/>
      </right>
      <top/>
      <bottom style="thin">
        <color indexed="64"/>
      </bottom>
      <diagonal/>
    </border>
    <border>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medium">
        <color indexed="64"/>
      </right>
      <top/>
      <bottom style="hair">
        <color auto="1"/>
      </bottom>
      <diagonal/>
    </border>
    <border>
      <left style="thin">
        <color auto="1"/>
      </left>
      <right/>
      <top style="double">
        <color indexed="64"/>
      </top>
      <bottom/>
      <diagonal/>
    </border>
    <border>
      <left/>
      <right/>
      <top style="double">
        <color indexed="64"/>
      </top>
      <bottom/>
      <diagonal/>
    </border>
    <border>
      <left/>
      <right style="thin">
        <color indexed="64"/>
      </right>
      <top style="double">
        <color indexed="64"/>
      </top>
      <bottom/>
      <diagonal/>
    </border>
    <border>
      <left style="medium">
        <color indexed="64"/>
      </left>
      <right/>
      <top style="hair">
        <color auto="1"/>
      </top>
      <bottom style="thin">
        <color indexed="64"/>
      </bottom>
      <diagonal/>
    </border>
    <border>
      <left style="hair">
        <color auto="1"/>
      </left>
      <right style="thin">
        <color auto="1"/>
      </right>
      <top/>
      <bottom/>
      <diagonal/>
    </border>
    <border>
      <left style="medium">
        <color indexed="64"/>
      </left>
      <right style="hair">
        <color auto="1"/>
      </right>
      <top style="hair">
        <color auto="1"/>
      </top>
      <bottom/>
      <diagonal/>
    </border>
    <border diagonalUp="1">
      <left style="medium">
        <color indexed="64"/>
      </left>
      <right style="medium">
        <color indexed="64"/>
      </right>
      <top style="hair">
        <color auto="1"/>
      </top>
      <bottom style="thin">
        <color indexed="64"/>
      </bottom>
      <diagonal style="hair">
        <color indexed="64"/>
      </diagonal>
    </border>
    <border>
      <left style="thin">
        <color indexed="64"/>
      </left>
      <right style="hair">
        <color auto="1"/>
      </right>
      <top style="hair">
        <color auto="1"/>
      </top>
      <bottom/>
      <diagonal/>
    </border>
    <border>
      <left style="thick">
        <color theme="8" tint="-0.24994659260841701"/>
      </left>
      <right style="thick">
        <color theme="8" tint="-0.24994659260841701"/>
      </right>
      <top style="thick">
        <color theme="8" tint="-0.24994659260841701"/>
      </top>
      <bottom style="thin">
        <color indexed="64"/>
      </bottom>
      <diagonal/>
    </border>
    <border>
      <left style="thick">
        <color theme="8" tint="-0.24994659260841701"/>
      </left>
      <right style="thick">
        <color theme="8" tint="-0.24994659260841701"/>
      </right>
      <top/>
      <bottom style="thin">
        <color indexed="64"/>
      </bottom>
      <diagonal/>
    </border>
    <border>
      <left style="thick">
        <color theme="8" tint="-0.24994659260841701"/>
      </left>
      <right style="thin">
        <color auto="1"/>
      </right>
      <top style="thin">
        <color auto="1"/>
      </top>
      <bottom style="thin">
        <color indexed="64"/>
      </bottom>
      <diagonal/>
    </border>
    <border>
      <left style="thin">
        <color indexed="64"/>
      </left>
      <right style="thick">
        <color theme="8" tint="-0.24994659260841701"/>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thin">
        <color indexed="64"/>
      </bottom>
      <diagonal/>
    </border>
    <border>
      <left style="medium">
        <color indexed="64"/>
      </left>
      <right/>
      <top style="medium">
        <color indexed="64"/>
      </top>
      <bottom style="hair">
        <color auto="1"/>
      </bottom>
      <diagonal/>
    </border>
    <border>
      <left style="medium">
        <color indexed="64"/>
      </left>
      <right/>
      <top/>
      <bottom style="hair">
        <color auto="1"/>
      </bottom>
      <diagonal/>
    </border>
    <border>
      <left style="medium">
        <color indexed="64"/>
      </left>
      <right/>
      <top style="hair">
        <color auto="1"/>
      </top>
      <bottom style="medium">
        <color indexed="64"/>
      </bottom>
      <diagonal/>
    </border>
    <border>
      <left/>
      <right style="medium">
        <color indexed="64"/>
      </right>
      <top style="hair">
        <color auto="1"/>
      </top>
      <bottom style="medium">
        <color indexed="64"/>
      </bottom>
      <diagonal/>
    </border>
    <border>
      <left style="thin">
        <color indexed="64"/>
      </left>
      <right style="hair">
        <color auto="1"/>
      </right>
      <top style="double">
        <color indexed="64"/>
      </top>
      <bottom style="hair">
        <color auto="1"/>
      </bottom>
      <diagonal/>
    </border>
    <border>
      <left style="hair">
        <color auto="1"/>
      </left>
      <right style="thin">
        <color indexed="64"/>
      </right>
      <top style="double">
        <color indexed="64"/>
      </top>
      <bottom style="hair">
        <color auto="1"/>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hair">
        <color theme="1" tint="0.34998626667073579"/>
      </left>
      <right style="hair">
        <color theme="1" tint="0.34998626667073579"/>
      </right>
      <top style="hair">
        <color theme="1" tint="0.34998626667073579"/>
      </top>
      <bottom style="hair">
        <color theme="1" tint="0.34998626667073579"/>
      </bottom>
      <diagonal/>
    </border>
    <border>
      <left style="thin">
        <color indexed="64"/>
      </left>
      <right style="thin">
        <color indexed="64"/>
      </right>
      <top style="thin">
        <color indexed="64"/>
      </top>
      <bottom style="hair">
        <color auto="1"/>
      </bottom>
      <diagonal/>
    </border>
    <border>
      <left style="thin">
        <color indexed="64"/>
      </left>
      <right style="thin">
        <color indexed="64"/>
      </right>
      <top style="hair">
        <color auto="1"/>
      </top>
      <bottom/>
      <diagonal/>
    </border>
    <border>
      <left style="thick">
        <color theme="8" tint="-0.24994659260841701"/>
      </left>
      <right style="thick">
        <color theme="8" tint="-0.24994659260841701"/>
      </right>
      <top style="thick">
        <color theme="8" tint="-0.24994659260841701"/>
      </top>
      <bottom style="thick">
        <color theme="8" tint="-0.24994659260841701"/>
      </bottom>
      <diagonal/>
    </border>
    <border>
      <left style="thick">
        <color theme="8" tint="-0.24994659260841701"/>
      </left>
      <right style="thick">
        <color theme="8" tint="-0.24994659260841701"/>
      </right>
      <top style="thin">
        <color indexed="64"/>
      </top>
      <bottom style="thin">
        <color indexed="64"/>
      </bottom>
      <diagonal/>
    </border>
    <border>
      <left style="thick">
        <color theme="8" tint="-0.24994659260841701"/>
      </left>
      <right style="thick">
        <color theme="8" tint="-0.24994659260841701"/>
      </right>
      <top style="thin">
        <color indexed="64"/>
      </top>
      <bottom style="thick">
        <color theme="8" tint="-0.24994659260841701"/>
      </bottom>
      <diagonal/>
    </border>
    <border>
      <left style="thin">
        <color indexed="64"/>
      </left>
      <right style="thick">
        <color indexed="64"/>
      </right>
      <top style="thin">
        <color indexed="64"/>
      </top>
      <bottom/>
      <diagonal/>
    </border>
    <border>
      <left/>
      <right/>
      <top style="thick">
        <color indexed="64"/>
      </top>
      <bottom/>
      <diagonal/>
    </border>
    <border>
      <left/>
      <right/>
      <top/>
      <bottom style="thick">
        <color indexed="64"/>
      </bottom>
      <diagonal/>
    </border>
    <border>
      <left style="thin">
        <color indexed="64"/>
      </left>
      <right style="thin">
        <color indexed="64"/>
      </right>
      <top style="thin">
        <color rgb="FF0070C0"/>
      </top>
      <bottom style="thin">
        <color indexed="64"/>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top style="thin">
        <color theme="1" tint="0.34998626667073579"/>
      </top>
      <bottom style="thin">
        <color theme="1" tint="0.34998626667073579"/>
      </bottom>
      <diagonal/>
    </border>
    <border>
      <left/>
      <right style="thin">
        <color theme="1" tint="0.34998626667073579"/>
      </right>
      <top style="thin">
        <color theme="1" tint="0.34998626667073579"/>
      </top>
      <bottom style="thin">
        <color theme="1" tint="0.34998626667073579"/>
      </bottom>
      <diagonal/>
    </border>
    <border>
      <left style="thin">
        <color indexed="64"/>
      </left>
      <right style="thin">
        <color indexed="64"/>
      </right>
      <top style="thin">
        <color indexed="64"/>
      </top>
      <bottom style="thin">
        <color rgb="FF0070C0"/>
      </bottom>
      <diagonal/>
    </border>
    <border>
      <left/>
      <right style="thin">
        <color indexed="64"/>
      </right>
      <top style="thin">
        <color indexed="64"/>
      </top>
      <bottom style="thin">
        <color rgb="FF0070C0"/>
      </bottom>
      <diagonal/>
    </border>
    <border>
      <left/>
      <right style="thin">
        <color indexed="64"/>
      </right>
      <top style="thin">
        <color rgb="FF0070C0"/>
      </top>
      <bottom style="thin">
        <color indexed="64"/>
      </bottom>
      <diagonal/>
    </border>
    <border>
      <left style="thin">
        <color indexed="64"/>
      </left>
      <right/>
      <top style="thin">
        <color indexed="64"/>
      </top>
      <bottom style="thin">
        <color rgb="FF0070C0"/>
      </bottom>
      <diagonal/>
    </border>
    <border>
      <left style="thin">
        <color indexed="64"/>
      </left>
      <right/>
      <top style="thin">
        <color rgb="FF0070C0"/>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alignment vertical="center"/>
    </xf>
    <xf numFmtId="38" fontId="29" fillId="0" borderId="0" applyFont="0" applyFill="0" applyBorder="0" applyAlignment="0" applyProtection="0">
      <alignment vertical="center"/>
    </xf>
    <xf numFmtId="0" fontId="10" fillId="0" borderId="0">
      <alignment vertical="center"/>
    </xf>
  </cellStyleXfs>
  <cellXfs count="1183">
    <xf numFmtId="0" fontId="0" fillId="0" borderId="0" xfId="0">
      <alignment vertical="center"/>
    </xf>
    <xf numFmtId="0" fontId="21" fillId="0" borderId="0" xfId="0" applyFont="1" applyAlignment="1">
      <alignment horizontal="right" vertical="center"/>
    </xf>
    <xf numFmtId="0" fontId="17" fillId="0" borderId="0" xfId="0" applyFont="1">
      <alignment vertical="center"/>
    </xf>
    <xf numFmtId="0" fontId="0" fillId="0" borderId="0" xfId="0" applyAlignment="1">
      <alignment vertical="top" wrapText="1"/>
    </xf>
    <xf numFmtId="0" fontId="32" fillId="2" borderId="0" xfId="0" applyFont="1" applyFill="1">
      <alignment vertical="center"/>
    </xf>
    <xf numFmtId="0" fontId="18" fillId="3" borderId="22" xfId="0" applyFont="1" applyFill="1" applyBorder="1" applyAlignment="1">
      <alignment vertical="center" wrapText="1"/>
    </xf>
    <xf numFmtId="0" fontId="35" fillId="0" borderId="0" xfId="0" applyFont="1" applyAlignment="1">
      <alignment vertical="top" wrapText="1"/>
    </xf>
    <xf numFmtId="0" fontId="35" fillId="0" borderId="0" xfId="0" applyFont="1" applyAlignment="1">
      <alignment horizontal="left" vertical="top"/>
    </xf>
    <xf numFmtId="0" fontId="0" fillId="0" borderId="0" xfId="0" applyAlignment="1">
      <alignment horizontal="center" vertical="center"/>
    </xf>
    <xf numFmtId="0" fontId="21" fillId="0" borderId="0" xfId="0" applyFont="1" applyAlignment="1">
      <alignment horizontal="right" vertical="center" wrapText="1"/>
    </xf>
    <xf numFmtId="0" fontId="32" fillId="2" borderId="0" xfId="0" applyFont="1" applyFill="1" applyAlignment="1">
      <alignment vertical="center" wrapText="1"/>
    </xf>
    <xf numFmtId="0" fontId="0" fillId="0" borderId="0" xfId="0" applyAlignment="1">
      <alignment vertical="center" wrapText="1"/>
    </xf>
    <xf numFmtId="0" fontId="18" fillId="3" borderId="2" xfId="0" applyFont="1" applyFill="1" applyBorder="1" applyAlignment="1">
      <alignment vertical="center" wrapText="1"/>
    </xf>
    <xf numFmtId="0" fontId="17" fillId="2" borderId="26" xfId="0" applyFont="1" applyFill="1" applyBorder="1" applyAlignment="1">
      <alignment horizontal="center" vertical="center" wrapText="1"/>
    </xf>
    <xf numFmtId="0" fontId="17" fillId="2" borderId="27" xfId="0" applyFont="1" applyFill="1" applyBorder="1" applyAlignment="1">
      <alignment horizontal="center" vertical="center"/>
    </xf>
    <xf numFmtId="0" fontId="17" fillId="2" borderId="55" xfId="0" applyFont="1" applyFill="1" applyBorder="1" applyAlignment="1">
      <alignment horizontal="center" vertical="center" wrapText="1"/>
    </xf>
    <xf numFmtId="0" fontId="17" fillId="2" borderId="65" xfId="0" applyFont="1" applyFill="1" applyBorder="1" applyAlignment="1">
      <alignment horizontal="center" vertical="center" wrapText="1"/>
    </xf>
    <xf numFmtId="0" fontId="0" fillId="0" borderId="29" xfId="0" applyBorder="1">
      <alignment vertical="center"/>
    </xf>
    <xf numFmtId="38" fontId="18" fillId="0" borderId="47" xfId="1" applyFont="1" applyFill="1" applyBorder="1">
      <alignment vertical="center"/>
    </xf>
    <xf numFmtId="38" fontId="18" fillId="0" borderId="0" xfId="1" applyFont="1" applyFill="1" applyBorder="1">
      <alignment vertical="center"/>
    </xf>
    <xf numFmtId="181" fontId="19" fillId="0" borderId="0" xfId="1" applyNumberFormat="1" applyFont="1" applyBorder="1" applyAlignment="1">
      <alignment horizontal="left" vertical="center"/>
    </xf>
    <xf numFmtId="38" fontId="18" fillId="0" borderId="58" xfId="1" applyFont="1" applyFill="1" applyBorder="1">
      <alignment vertical="center"/>
    </xf>
    <xf numFmtId="0" fontId="17" fillId="2" borderId="46" xfId="0" applyFont="1" applyFill="1" applyBorder="1" applyAlignment="1">
      <alignment horizontal="center" vertical="center"/>
    </xf>
    <xf numFmtId="0" fontId="42" fillId="0" borderId="0" xfId="0" applyFont="1">
      <alignment vertical="center"/>
    </xf>
    <xf numFmtId="0" fontId="9" fillId="3" borderId="38" xfId="0" applyFont="1" applyFill="1" applyBorder="1" applyAlignment="1">
      <alignment vertical="top" wrapText="1"/>
    </xf>
    <xf numFmtId="0" fontId="15" fillId="3" borderId="22" xfId="0" applyFont="1" applyFill="1" applyBorder="1" applyAlignment="1">
      <alignment horizontal="left" vertical="center" wrapText="1"/>
    </xf>
    <xf numFmtId="0" fontId="15" fillId="3" borderId="1" xfId="0" applyFont="1" applyFill="1" applyBorder="1">
      <alignment vertical="center"/>
    </xf>
    <xf numFmtId="0" fontId="18" fillId="3" borderId="41" xfId="0" applyFont="1" applyFill="1" applyBorder="1">
      <alignment vertical="center"/>
    </xf>
    <xf numFmtId="0" fontId="44" fillId="0" borderId="0" xfId="0" applyFont="1">
      <alignment vertical="center"/>
    </xf>
    <xf numFmtId="0" fontId="18" fillId="0" borderId="52" xfId="0" applyFont="1" applyBorder="1" applyAlignment="1" applyProtection="1">
      <alignment horizontal="center" vertical="center"/>
      <protection locked="0"/>
    </xf>
    <xf numFmtId="0" fontId="18" fillId="3" borderId="11" xfId="0" applyFont="1" applyFill="1" applyBorder="1" applyAlignment="1">
      <alignment horizontal="left" vertical="center" wrapText="1"/>
    </xf>
    <xf numFmtId="0" fontId="8" fillId="3" borderId="50" xfId="0" applyFont="1" applyFill="1" applyBorder="1" applyAlignment="1">
      <alignment vertical="center" wrapText="1"/>
    </xf>
    <xf numFmtId="0" fontId="20" fillId="2" borderId="0" xfId="0" applyFont="1" applyFill="1" applyAlignment="1">
      <alignment horizontal="left" vertical="center"/>
    </xf>
    <xf numFmtId="0" fontId="21" fillId="0" borderId="0" xfId="0" applyFont="1" applyAlignment="1" applyProtection="1">
      <alignment horizontal="right" vertical="center"/>
      <protection hidden="1"/>
    </xf>
    <xf numFmtId="0" fontId="41" fillId="0" borderId="0" xfId="0" applyFont="1" applyAlignment="1" applyProtection="1">
      <alignment horizontal="right" vertical="center"/>
      <protection hidden="1"/>
    </xf>
    <xf numFmtId="0" fontId="27" fillId="3" borderId="17" xfId="0" applyFont="1" applyFill="1" applyBorder="1">
      <alignment vertical="center"/>
    </xf>
    <xf numFmtId="0" fontId="18" fillId="2" borderId="63" xfId="0" applyFont="1" applyFill="1" applyBorder="1" applyAlignment="1">
      <alignment horizontal="center" vertical="center"/>
    </xf>
    <xf numFmtId="0" fontId="28" fillId="0" borderId="1" xfId="0" applyFont="1" applyBorder="1" applyAlignment="1" applyProtection="1">
      <alignment vertical="center" shrinkToFit="1"/>
      <protection locked="0"/>
    </xf>
    <xf numFmtId="0" fontId="28" fillId="0" borderId="18" xfId="0" applyFont="1" applyBorder="1" applyAlignment="1" applyProtection="1">
      <alignment vertical="center" shrinkToFit="1"/>
      <protection locked="0"/>
    </xf>
    <xf numFmtId="0" fontId="0" fillId="0" borderId="0" xfId="0" applyProtection="1">
      <alignment vertical="center"/>
      <protection locked="0"/>
    </xf>
    <xf numFmtId="0" fontId="18" fillId="0" borderId="12" xfId="0" applyFont="1" applyBorder="1" applyAlignment="1" applyProtection="1">
      <alignment horizontal="left" vertical="center" shrinkToFit="1"/>
      <protection locked="0"/>
    </xf>
    <xf numFmtId="0" fontId="0" fillId="4" borderId="8" xfId="0" applyFill="1" applyBorder="1" applyAlignment="1">
      <alignment horizontal="right" vertical="center"/>
    </xf>
    <xf numFmtId="0" fontId="18" fillId="0" borderId="45" xfId="0" applyFont="1" applyBorder="1" applyAlignment="1" applyProtection="1">
      <alignment horizontal="center" vertical="center"/>
      <protection hidden="1"/>
    </xf>
    <xf numFmtId="0" fontId="18" fillId="3" borderId="91" xfId="0" applyFont="1" applyFill="1" applyBorder="1" applyAlignment="1">
      <alignment horizontal="center" vertical="center"/>
    </xf>
    <xf numFmtId="0" fontId="18" fillId="0" borderId="83" xfId="0" applyFont="1" applyBorder="1" applyAlignment="1" applyProtection="1">
      <alignment horizontal="center" vertical="center"/>
      <protection locked="0"/>
    </xf>
    <xf numFmtId="0" fontId="32" fillId="0" borderId="19" xfId="0" applyFont="1" applyBorder="1" applyAlignment="1" applyProtection="1">
      <alignment horizontal="center" vertical="center"/>
      <protection hidden="1"/>
    </xf>
    <xf numFmtId="0" fontId="32" fillId="0" borderId="77" xfId="0" applyFont="1" applyBorder="1" applyAlignment="1" applyProtection="1">
      <alignment horizontal="center" vertical="center"/>
      <protection hidden="1"/>
    </xf>
    <xf numFmtId="0" fontId="32" fillId="0" borderId="17" xfId="0" applyFont="1" applyBorder="1" applyAlignment="1" applyProtection="1">
      <alignment horizontal="center" vertical="center"/>
      <protection hidden="1"/>
    </xf>
    <xf numFmtId="0" fontId="18" fillId="0" borderId="51" xfId="0" applyFont="1" applyBorder="1" applyAlignment="1" applyProtection="1">
      <alignment horizontal="center" vertical="center"/>
      <protection locked="0"/>
    </xf>
    <xf numFmtId="0" fontId="18" fillId="0" borderId="60" xfId="0" applyFont="1" applyBorder="1" applyAlignment="1" applyProtection="1">
      <alignment horizontal="center" vertical="center"/>
      <protection hidden="1"/>
    </xf>
    <xf numFmtId="0" fontId="32" fillId="0" borderId="82" xfId="0" applyFont="1" applyBorder="1" applyAlignment="1" applyProtection="1">
      <alignment horizontal="center" vertical="center"/>
      <protection hidden="1"/>
    </xf>
    <xf numFmtId="0" fontId="18" fillId="0" borderId="59" xfId="0" applyFont="1" applyBorder="1" applyAlignment="1" applyProtection="1">
      <alignment vertical="center" wrapText="1"/>
      <protection locked="0"/>
    </xf>
    <xf numFmtId="0" fontId="18" fillId="0" borderId="59" xfId="0" applyFont="1" applyBorder="1" applyAlignment="1" applyProtection="1">
      <alignment horizontal="center" vertical="center"/>
      <protection locked="0"/>
    </xf>
    <xf numFmtId="176" fontId="18" fillId="0" borderId="59" xfId="0" applyNumberFormat="1" applyFont="1" applyBorder="1" applyAlignment="1" applyProtection="1">
      <alignment horizontal="center" vertical="center" shrinkToFit="1"/>
      <protection locked="0"/>
    </xf>
    <xf numFmtId="176" fontId="18" fillId="0" borderId="59" xfId="0" applyNumberFormat="1" applyFont="1" applyBorder="1" applyAlignment="1" applyProtection="1">
      <alignment horizontal="center" vertical="center" shrinkToFit="1"/>
      <protection locked="0" hidden="1"/>
    </xf>
    <xf numFmtId="0" fontId="39" fillId="2" borderId="0" xfId="0" applyFont="1" applyFill="1" applyAlignment="1" applyProtection="1">
      <alignment horizontal="right" vertical="center"/>
      <protection hidden="1"/>
    </xf>
    <xf numFmtId="0" fontId="41" fillId="6" borderId="31" xfId="0" applyFont="1" applyFill="1" applyBorder="1" applyAlignment="1">
      <alignment horizontal="center" vertical="center" wrapText="1"/>
    </xf>
    <xf numFmtId="0" fontId="41" fillId="6" borderId="31" xfId="0" applyFont="1" applyFill="1" applyBorder="1" applyAlignment="1">
      <alignment horizontal="center" vertical="center"/>
    </xf>
    <xf numFmtId="14" fontId="41" fillId="6" borderId="31" xfId="0" applyNumberFormat="1" applyFont="1" applyFill="1" applyBorder="1" applyAlignment="1">
      <alignment horizontal="center" vertical="center"/>
    </xf>
    <xf numFmtId="14" fontId="41" fillId="6" borderId="31" xfId="0" applyNumberFormat="1" applyFont="1" applyFill="1" applyBorder="1" applyAlignment="1">
      <alignment vertical="center" wrapText="1"/>
    </xf>
    <xf numFmtId="0" fontId="41" fillId="6" borderId="31" xfId="0" applyFont="1" applyFill="1" applyBorder="1" applyAlignment="1">
      <alignment vertical="center" wrapText="1"/>
    </xf>
    <xf numFmtId="0" fontId="18" fillId="2" borderId="8" xfId="0" applyFont="1" applyFill="1" applyBorder="1" applyAlignment="1">
      <alignment horizontal="center" vertical="center"/>
    </xf>
    <xf numFmtId="0" fontId="17" fillId="3" borderId="15" xfId="0" applyFont="1" applyFill="1" applyBorder="1">
      <alignment vertical="center"/>
    </xf>
    <xf numFmtId="0" fontId="17" fillId="3" borderId="20" xfId="0" applyFont="1" applyFill="1" applyBorder="1">
      <alignment vertical="center"/>
    </xf>
    <xf numFmtId="0" fontId="18" fillId="2" borderId="26" xfId="0" applyFont="1" applyFill="1" applyBorder="1" applyAlignment="1">
      <alignment horizontal="center" vertical="center"/>
    </xf>
    <xf numFmtId="0" fontId="19" fillId="2" borderId="26" xfId="0" applyFont="1" applyFill="1" applyBorder="1" applyAlignment="1">
      <alignment horizontal="center" vertical="center" wrapText="1"/>
    </xf>
    <xf numFmtId="0" fontId="18" fillId="2" borderId="49" xfId="0" applyFont="1" applyFill="1" applyBorder="1" applyAlignment="1">
      <alignment horizontal="center" vertical="center"/>
    </xf>
    <xf numFmtId="0" fontId="17" fillId="2" borderId="10" xfId="0" applyFont="1" applyFill="1" applyBorder="1" applyAlignment="1">
      <alignment horizontal="center" vertical="center" wrapText="1"/>
    </xf>
    <xf numFmtId="0" fontId="18" fillId="3" borderId="11" xfId="0" applyFont="1" applyFill="1" applyBorder="1" applyAlignment="1">
      <alignment vertical="center" wrapText="1"/>
    </xf>
    <xf numFmtId="0" fontId="18" fillId="0" borderId="39" xfId="0" applyFont="1" applyBorder="1" applyAlignment="1" applyProtection="1">
      <alignment vertical="top" wrapText="1"/>
      <protection locked="0"/>
    </xf>
    <xf numFmtId="0" fontId="18" fillId="3" borderId="32" xfId="0" applyFont="1" applyFill="1" applyBorder="1" applyAlignment="1">
      <alignment vertical="top" textRotation="255"/>
    </xf>
    <xf numFmtId="0" fontId="28" fillId="0" borderId="51" xfId="0" applyFont="1" applyBorder="1" applyAlignment="1" applyProtection="1">
      <alignment horizontal="center" vertical="center" wrapText="1"/>
      <protection hidden="1"/>
    </xf>
    <xf numFmtId="0" fontId="18" fillId="0" borderId="20" xfId="0" applyFont="1" applyBorder="1" applyAlignment="1" applyProtection="1">
      <alignment horizontal="center" vertical="center" wrapText="1"/>
      <protection hidden="1"/>
    </xf>
    <xf numFmtId="0" fontId="18" fillId="0" borderId="92" xfId="0" applyFont="1" applyBorder="1" applyAlignment="1" applyProtection="1">
      <alignment horizontal="center" vertical="center" wrapText="1"/>
      <protection hidden="1"/>
    </xf>
    <xf numFmtId="0" fontId="18" fillId="3" borderId="89" xfId="0" applyFont="1" applyFill="1" applyBorder="1" applyAlignment="1">
      <alignment vertical="center" wrapText="1"/>
    </xf>
    <xf numFmtId="0" fontId="18" fillId="3" borderId="88" xfId="0" applyFont="1" applyFill="1" applyBorder="1" applyAlignment="1">
      <alignment horizontal="center" vertical="center" wrapText="1"/>
    </xf>
    <xf numFmtId="0" fontId="18" fillId="0" borderId="7" xfId="0" applyFont="1" applyBorder="1" applyAlignment="1" applyProtection="1">
      <alignment horizontal="left" vertical="center" shrinkToFit="1"/>
      <protection hidden="1"/>
    </xf>
    <xf numFmtId="0" fontId="18" fillId="0" borderId="26" xfId="0" applyFont="1" applyBorder="1" applyAlignment="1" applyProtection="1">
      <alignment vertical="top" wrapText="1"/>
      <protection locked="0"/>
    </xf>
    <xf numFmtId="0" fontId="18" fillId="0" borderId="27" xfId="0" applyFont="1" applyBorder="1" applyAlignment="1" applyProtection="1">
      <alignment vertical="top" wrapText="1"/>
      <protection locked="0"/>
    </xf>
    <xf numFmtId="0" fontId="18" fillId="0" borderId="61" xfId="0" applyFont="1" applyBorder="1" applyAlignment="1" applyProtection="1">
      <alignment vertical="top" wrapText="1"/>
      <protection locked="0"/>
    </xf>
    <xf numFmtId="0" fontId="18" fillId="0" borderId="10" xfId="0" applyFont="1" applyBorder="1" applyAlignment="1" applyProtection="1">
      <alignment vertical="top" wrapText="1"/>
      <protection locked="0"/>
    </xf>
    <xf numFmtId="0" fontId="18" fillId="0" borderId="57" xfId="0" applyFont="1" applyBorder="1" applyAlignment="1" applyProtection="1">
      <alignment vertical="top" wrapText="1"/>
      <protection locked="0"/>
    </xf>
    <xf numFmtId="0" fontId="18" fillId="0" borderId="19" xfId="0" applyFont="1" applyBorder="1" applyAlignment="1" applyProtection="1">
      <alignment vertical="top" wrapText="1"/>
      <protection locked="0"/>
    </xf>
    <xf numFmtId="0" fontId="18" fillId="2" borderId="59" xfId="0" applyFont="1" applyFill="1" applyBorder="1" applyAlignment="1">
      <alignment horizontal="center" vertical="center"/>
    </xf>
    <xf numFmtId="0" fontId="18" fillId="2" borderId="59" xfId="0" applyFont="1" applyFill="1" applyBorder="1" applyAlignment="1">
      <alignment horizontal="center" vertical="center" wrapText="1"/>
    </xf>
    <xf numFmtId="0" fontId="43" fillId="2" borderId="8" xfId="0" applyFont="1" applyFill="1" applyBorder="1">
      <alignment vertical="center"/>
    </xf>
    <xf numFmtId="0" fontId="43" fillId="2" borderId="9" xfId="0" applyFont="1" applyFill="1" applyBorder="1" applyAlignment="1">
      <alignment vertical="center" wrapText="1"/>
    </xf>
    <xf numFmtId="0" fontId="43" fillId="2" borderId="10" xfId="0" applyFont="1" applyFill="1" applyBorder="1" applyAlignment="1">
      <alignment vertical="center" wrapText="1"/>
    </xf>
    <xf numFmtId="0" fontId="52" fillId="0" borderId="0" xfId="0" applyFont="1" applyProtection="1">
      <alignment vertical="center"/>
      <protection hidden="1"/>
    </xf>
    <xf numFmtId="0" fontId="0" fillId="0" borderId="0" xfId="0" applyAlignment="1" applyProtection="1">
      <alignment horizontal="center" vertical="center"/>
      <protection hidden="1"/>
    </xf>
    <xf numFmtId="0" fontId="20" fillId="2" borderId="0" xfId="0" applyFont="1" applyFill="1" applyProtection="1">
      <alignment vertical="center"/>
      <protection hidden="1"/>
    </xf>
    <xf numFmtId="0" fontId="32" fillId="2" borderId="0" xfId="0" applyFont="1" applyFill="1" applyProtection="1">
      <alignment vertical="center"/>
      <protection hidden="1"/>
    </xf>
    <xf numFmtId="0" fontId="32" fillId="0" borderId="0" xfId="0" applyFont="1" applyProtection="1">
      <alignment vertical="center"/>
      <protection hidden="1"/>
    </xf>
    <xf numFmtId="0" fontId="0" fillId="0" borderId="0" xfId="0" applyProtection="1">
      <alignment vertical="center"/>
      <protection hidden="1"/>
    </xf>
    <xf numFmtId="180" fontId="18" fillId="0" borderId="0" xfId="0" applyNumberFormat="1" applyFont="1" applyAlignment="1" applyProtection="1">
      <alignment vertical="center" shrinkToFit="1"/>
      <protection hidden="1"/>
    </xf>
    <xf numFmtId="0" fontId="15" fillId="6" borderId="59" xfId="0" applyFont="1" applyFill="1" applyBorder="1" applyProtection="1">
      <alignment vertical="center"/>
      <protection hidden="1"/>
    </xf>
    <xf numFmtId="0" fontId="49" fillId="6" borderId="59" xfId="0" applyFont="1" applyFill="1" applyBorder="1" applyProtection="1">
      <alignment vertical="center"/>
      <protection hidden="1"/>
    </xf>
    <xf numFmtId="176" fontId="15" fillId="6" borderId="59" xfId="0" applyNumberFormat="1" applyFont="1" applyFill="1" applyBorder="1" applyProtection="1">
      <alignment vertical="center"/>
      <protection hidden="1"/>
    </xf>
    <xf numFmtId="0" fontId="20" fillId="0" borderId="0" xfId="0" applyFont="1">
      <alignment vertical="center"/>
    </xf>
    <xf numFmtId="0" fontId="18" fillId="0" borderId="0" xfId="0" applyFont="1" applyAlignment="1">
      <alignment horizontal="left" vertical="top" wrapText="1"/>
    </xf>
    <xf numFmtId="0" fontId="5" fillId="0" borderId="0" xfId="0" applyFont="1">
      <alignment vertical="center"/>
    </xf>
    <xf numFmtId="0" fontId="18" fillId="2" borderId="46" xfId="0" applyFont="1" applyFill="1" applyBorder="1" applyAlignment="1">
      <alignment horizontal="center" vertical="center"/>
    </xf>
    <xf numFmtId="0" fontId="18" fillId="2" borderId="87" xfId="0" applyFont="1" applyFill="1" applyBorder="1" applyAlignment="1">
      <alignment horizontal="center" vertical="center"/>
    </xf>
    <xf numFmtId="0" fontId="18" fillId="6" borderId="34" xfId="0" applyFont="1" applyFill="1" applyBorder="1" applyAlignment="1" applyProtection="1">
      <alignment vertical="top" wrapText="1"/>
      <protection locked="0"/>
    </xf>
    <xf numFmtId="0" fontId="18" fillId="6" borderId="28" xfId="0" applyFont="1" applyFill="1" applyBorder="1" applyAlignment="1" applyProtection="1">
      <alignment vertical="top" wrapText="1"/>
      <protection locked="0"/>
    </xf>
    <xf numFmtId="56" fontId="15" fillId="6" borderId="50" xfId="0" applyNumberFormat="1" applyFont="1" applyFill="1" applyBorder="1" applyAlignment="1" applyProtection="1">
      <alignment horizontal="center" shrinkToFit="1"/>
      <protection hidden="1"/>
    </xf>
    <xf numFmtId="56" fontId="15" fillId="6" borderId="11" xfId="0" applyNumberFormat="1" applyFont="1" applyFill="1" applyBorder="1" applyAlignment="1" applyProtection="1">
      <alignment horizontal="center" vertical="top" shrinkToFit="1"/>
      <protection hidden="1"/>
    </xf>
    <xf numFmtId="178" fontId="15" fillId="6" borderId="38" xfId="0" applyNumberFormat="1" applyFont="1" applyFill="1" applyBorder="1" applyAlignment="1" applyProtection="1">
      <alignment horizontal="center" vertical="top" shrinkToFit="1"/>
      <protection hidden="1"/>
    </xf>
    <xf numFmtId="178" fontId="15" fillId="6" borderId="22" xfId="0" applyNumberFormat="1" applyFont="1" applyFill="1" applyBorder="1" applyAlignment="1" applyProtection="1">
      <alignment horizontal="center" vertical="top" shrinkToFit="1"/>
      <protection hidden="1"/>
    </xf>
    <xf numFmtId="177" fontId="18" fillId="0" borderId="59" xfId="0" applyNumberFormat="1" applyFont="1" applyBorder="1" applyAlignment="1">
      <alignment horizontal="right" vertical="center"/>
    </xf>
    <xf numFmtId="0" fontId="18" fillId="7" borderId="20" xfId="0" applyFont="1" applyFill="1" applyBorder="1" applyAlignment="1" applyProtection="1">
      <alignment horizontal="center" vertical="center" wrapText="1"/>
      <protection hidden="1"/>
    </xf>
    <xf numFmtId="0" fontId="18" fillId="7" borderId="51" xfId="0" applyFont="1" applyFill="1" applyBorder="1" applyAlignment="1" applyProtection="1">
      <alignment horizontal="center" vertical="center"/>
      <protection locked="0"/>
    </xf>
    <xf numFmtId="0" fontId="18" fillId="7" borderId="52" xfId="0" applyFont="1" applyFill="1" applyBorder="1" applyAlignment="1" applyProtection="1">
      <alignment horizontal="center" vertical="center"/>
      <protection locked="0"/>
    </xf>
    <xf numFmtId="0" fontId="18" fillId="7" borderId="83" xfId="0" applyFont="1" applyFill="1" applyBorder="1" applyAlignment="1" applyProtection="1">
      <alignment horizontal="center" vertical="center"/>
      <protection locked="0"/>
    </xf>
    <xf numFmtId="0" fontId="18" fillId="7" borderId="45" xfId="0" applyFont="1" applyFill="1" applyBorder="1" applyAlignment="1" applyProtection="1">
      <alignment horizontal="center" vertical="center"/>
      <protection hidden="1"/>
    </xf>
    <xf numFmtId="179" fontId="18" fillId="5" borderId="59" xfId="0" applyNumberFormat="1" applyFont="1" applyFill="1" applyBorder="1" applyAlignment="1" applyProtection="1">
      <alignment horizontal="center" vertical="center" shrinkToFit="1"/>
      <protection hidden="1"/>
    </xf>
    <xf numFmtId="183" fontId="19" fillId="6" borderId="10" xfId="0" applyNumberFormat="1" applyFont="1" applyFill="1" applyBorder="1" applyAlignment="1" applyProtection="1">
      <alignment horizontal="center" vertical="center"/>
      <protection hidden="1"/>
    </xf>
    <xf numFmtId="182" fontId="19" fillId="6" borderId="10" xfId="0" applyNumberFormat="1" applyFont="1" applyFill="1" applyBorder="1" applyAlignment="1" applyProtection="1">
      <alignment horizontal="center" vertical="center"/>
      <protection hidden="1"/>
    </xf>
    <xf numFmtId="0" fontId="18" fillId="6" borderId="7" xfId="0" applyFont="1" applyFill="1" applyBorder="1" applyAlignment="1">
      <alignment horizontal="center" vertical="center"/>
    </xf>
    <xf numFmtId="0" fontId="18" fillId="6" borderId="3" xfId="0" applyFont="1" applyFill="1" applyBorder="1" applyAlignment="1">
      <alignment horizontal="center" vertical="center"/>
    </xf>
    <xf numFmtId="0" fontId="18" fillId="6" borderId="28" xfId="0" applyFont="1" applyFill="1" applyBorder="1" applyAlignment="1">
      <alignment horizontal="center" vertical="center"/>
    </xf>
    <xf numFmtId="0" fontId="19" fillId="6" borderId="8" xfId="0" applyFont="1" applyFill="1" applyBorder="1" applyAlignment="1">
      <alignment horizontal="center" vertical="center" wrapText="1"/>
    </xf>
    <xf numFmtId="0" fontId="18" fillId="6" borderId="12" xfId="0" applyFont="1" applyFill="1" applyBorder="1" applyAlignment="1" applyProtection="1">
      <alignment vertical="top" wrapText="1"/>
      <protection locked="0"/>
    </xf>
    <xf numFmtId="0" fontId="18" fillId="6" borderId="18" xfId="0" applyFont="1" applyFill="1" applyBorder="1" applyAlignment="1" applyProtection="1">
      <alignment vertical="top" wrapText="1"/>
      <protection locked="0"/>
    </xf>
    <xf numFmtId="0" fontId="18" fillId="3" borderId="41" xfId="0" applyFont="1" applyFill="1" applyBorder="1" applyAlignment="1">
      <alignment vertical="center" wrapText="1"/>
    </xf>
    <xf numFmtId="0" fontId="18" fillId="3" borderId="102" xfId="0" applyFont="1" applyFill="1" applyBorder="1" applyAlignment="1">
      <alignment vertical="center" wrapText="1"/>
    </xf>
    <xf numFmtId="0" fontId="18" fillId="3" borderId="58" xfId="0" applyFont="1" applyFill="1" applyBorder="1" applyAlignment="1">
      <alignment wrapText="1"/>
    </xf>
    <xf numFmtId="188" fontId="18" fillId="0" borderId="100" xfId="0" applyNumberFormat="1" applyFont="1" applyBorder="1" applyProtection="1">
      <alignment vertical="center"/>
      <protection locked="0"/>
    </xf>
    <xf numFmtId="188" fontId="18" fillId="0" borderId="102" xfId="0" applyNumberFormat="1" applyFont="1" applyBorder="1" applyProtection="1">
      <alignment vertical="center"/>
      <protection locked="0"/>
    </xf>
    <xf numFmtId="188" fontId="18" fillId="0" borderId="104" xfId="0" applyNumberFormat="1" applyFont="1" applyBorder="1" applyProtection="1">
      <alignment vertical="center"/>
      <protection locked="0"/>
    </xf>
    <xf numFmtId="188" fontId="18" fillId="0" borderId="106" xfId="0" applyNumberFormat="1" applyFont="1" applyBorder="1" applyProtection="1">
      <alignment vertical="center"/>
      <protection locked="0"/>
    </xf>
    <xf numFmtId="188" fontId="18" fillId="0" borderId="108" xfId="0" applyNumberFormat="1" applyFont="1" applyBorder="1" applyProtection="1">
      <alignment vertical="center"/>
      <protection locked="0"/>
    </xf>
    <xf numFmtId="190" fontId="18" fillId="0" borderId="99" xfId="1" applyNumberFormat="1" applyFont="1" applyBorder="1" applyProtection="1">
      <alignment vertical="center"/>
      <protection locked="0"/>
    </xf>
    <xf numFmtId="190" fontId="18" fillId="0" borderId="101" xfId="1" applyNumberFormat="1" applyFont="1" applyBorder="1" applyProtection="1">
      <alignment vertical="center"/>
      <protection locked="0"/>
    </xf>
    <xf numFmtId="190" fontId="18" fillId="0" borderId="103" xfId="1" applyNumberFormat="1" applyFont="1" applyBorder="1" applyProtection="1">
      <alignment vertical="center"/>
      <protection locked="0"/>
    </xf>
    <xf numFmtId="190" fontId="18" fillId="0" borderId="105" xfId="1" applyNumberFormat="1" applyFont="1" applyBorder="1" applyProtection="1">
      <alignment vertical="center"/>
      <protection locked="0"/>
    </xf>
    <xf numFmtId="190" fontId="18" fillId="0" borderId="107" xfId="1" applyNumberFormat="1" applyFont="1" applyBorder="1" applyProtection="1">
      <alignment vertical="center"/>
      <protection locked="0"/>
    </xf>
    <xf numFmtId="0" fontId="19" fillId="0" borderId="16" xfId="1" applyNumberFormat="1" applyFont="1" applyBorder="1" applyAlignment="1" applyProtection="1">
      <alignment horizontal="left" vertical="center" wrapText="1"/>
      <protection locked="0"/>
    </xf>
    <xf numFmtId="0" fontId="19" fillId="0" borderId="21" xfId="1" applyNumberFormat="1" applyFont="1" applyBorder="1" applyAlignment="1" applyProtection="1">
      <alignment horizontal="left" vertical="center" wrapText="1"/>
      <protection locked="0"/>
    </xf>
    <xf numFmtId="0" fontId="19" fillId="0" borderId="24" xfId="1" applyNumberFormat="1" applyFont="1" applyBorder="1" applyAlignment="1" applyProtection="1">
      <alignment horizontal="left" vertical="center" wrapText="1"/>
      <protection locked="0"/>
    </xf>
    <xf numFmtId="0" fontId="19" fillId="0" borderId="10" xfId="1" applyNumberFormat="1" applyFont="1" applyFill="1" applyBorder="1" applyAlignment="1" applyProtection="1">
      <alignment vertical="center" wrapText="1"/>
      <protection locked="0"/>
    </xf>
    <xf numFmtId="0" fontId="18" fillId="3" borderId="52" xfId="0" applyFont="1" applyFill="1" applyBorder="1" applyAlignment="1">
      <alignment vertical="center" shrinkToFit="1"/>
    </xf>
    <xf numFmtId="0" fontId="18" fillId="3" borderId="1" xfId="0" applyFont="1" applyFill="1" applyBorder="1" applyAlignment="1">
      <alignment vertical="center" shrinkToFit="1"/>
    </xf>
    <xf numFmtId="0" fontId="18" fillId="3" borderId="67" xfId="0" applyFont="1" applyFill="1" applyBorder="1" applyAlignment="1">
      <alignment vertical="center" shrinkToFit="1"/>
    </xf>
    <xf numFmtId="0" fontId="18" fillId="3" borderId="12" xfId="0" applyFont="1" applyFill="1" applyBorder="1" applyAlignment="1">
      <alignment vertical="center" shrinkToFit="1"/>
    </xf>
    <xf numFmtId="0" fontId="18" fillId="3" borderId="18" xfId="0" applyFont="1" applyFill="1" applyBorder="1" applyAlignment="1">
      <alignment vertical="center" shrinkToFit="1"/>
    </xf>
    <xf numFmtId="0" fontId="18" fillId="3" borderId="84" xfId="0" applyFont="1" applyFill="1" applyBorder="1" applyAlignment="1">
      <alignment vertical="center" shrinkToFit="1"/>
    </xf>
    <xf numFmtId="0" fontId="18" fillId="3" borderId="106" xfId="0" applyFont="1" applyFill="1" applyBorder="1" applyAlignment="1">
      <alignment vertical="center" shrinkToFit="1"/>
    </xf>
    <xf numFmtId="0" fontId="18" fillId="3" borderId="89" xfId="0" applyFont="1" applyFill="1" applyBorder="1" applyAlignment="1">
      <alignment horizontal="center" vertical="center" shrinkToFit="1"/>
    </xf>
    <xf numFmtId="0" fontId="18" fillId="3" borderId="85" xfId="0" applyFont="1" applyFill="1" applyBorder="1" applyAlignment="1">
      <alignment horizontal="center" vertical="center" shrinkToFit="1"/>
    </xf>
    <xf numFmtId="0" fontId="18" fillId="3" borderId="90" xfId="0" applyFont="1" applyFill="1" applyBorder="1" applyAlignment="1">
      <alignment horizontal="center" vertical="center" shrinkToFit="1"/>
    </xf>
    <xf numFmtId="0" fontId="28" fillId="0" borderId="0" xfId="0" applyFont="1" applyAlignment="1">
      <alignment horizontal="left" vertical="top" shrinkToFit="1"/>
    </xf>
    <xf numFmtId="188" fontId="15" fillId="0" borderId="99" xfId="1" applyNumberFormat="1" applyFont="1" applyBorder="1" applyAlignment="1" applyProtection="1">
      <alignment vertical="center" shrinkToFit="1"/>
      <protection locked="0"/>
    </xf>
    <xf numFmtId="188" fontId="15" fillId="0" borderId="100" xfId="0" applyNumberFormat="1" applyFont="1" applyBorder="1" applyAlignment="1" applyProtection="1">
      <alignment vertical="center" shrinkToFit="1"/>
      <protection locked="0"/>
    </xf>
    <xf numFmtId="188" fontId="15" fillId="0" borderId="101" xfId="1" applyNumberFormat="1" applyFont="1" applyBorder="1" applyAlignment="1" applyProtection="1">
      <alignment vertical="center" shrinkToFit="1"/>
      <protection locked="0"/>
    </xf>
    <xf numFmtId="188" fontId="15" fillId="0" borderId="102" xfId="0" applyNumberFormat="1" applyFont="1" applyBorder="1" applyAlignment="1" applyProtection="1">
      <alignment vertical="center" shrinkToFit="1"/>
      <protection locked="0"/>
    </xf>
    <xf numFmtId="188" fontId="15" fillId="0" borderId="105" xfId="1" applyNumberFormat="1" applyFont="1" applyBorder="1" applyAlignment="1" applyProtection="1">
      <alignment vertical="center" shrinkToFit="1"/>
      <protection locked="0"/>
    </xf>
    <xf numFmtId="188" fontId="15" fillId="0" borderId="106" xfId="0" applyNumberFormat="1" applyFont="1" applyBorder="1" applyAlignment="1" applyProtection="1">
      <alignment vertical="center" shrinkToFit="1"/>
      <protection locked="0"/>
    </xf>
    <xf numFmtId="188" fontId="15" fillId="0" borderId="137" xfId="1" applyNumberFormat="1" applyFont="1" applyBorder="1" applyAlignment="1" applyProtection="1">
      <alignment vertical="center" shrinkToFit="1"/>
      <protection locked="0"/>
    </xf>
    <xf numFmtId="188" fontId="15" fillId="0" borderId="138" xfId="0" applyNumberFormat="1" applyFont="1" applyBorder="1" applyAlignment="1" applyProtection="1">
      <alignment vertical="center" shrinkToFit="1"/>
      <protection locked="0"/>
    </xf>
    <xf numFmtId="188" fontId="15" fillId="0" borderId="103" xfId="1" applyNumberFormat="1" applyFont="1" applyBorder="1" applyAlignment="1" applyProtection="1">
      <alignment vertical="center" shrinkToFit="1"/>
      <protection locked="0"/>
    </xf>
    <xf numFmtId="188" fontId="15" fillId="0" borderId="104" xfId="0" applyNumberFormat="1" applyFont="1" applyBorder="1" applyAlignment="1" applyProtection="1">
      <alignment vertical="center" shrinkToFit="1"/>
      <protection locked="0"/>
    </xf>
    <xf numFmtId="188" fontId="15" fillId="0" borderId="109" xfId="1" applyNumberFormat="1" applyFont="1" applyFill="1" applyBorder="1" applyAlignment="1" applyProtection="1">
      <alignment vertical="center" shrinkToFit="1"/>
      <protection locked="0"/>
    </xf>
    <xf numFmtId="188" fontId="15" fillId="0" borderId="110" xfId="1" applyNumberFormat="1" applyFont="1" applyFill="1" applyBorder="1" applyAlignment="1" applyProtection="1">
      <alignment vertical="center" shrinkToFit="1"/>
      <protection locked="0"/>
    </xf>
    <xf numFmtId="188" fontId="15" fillId="0" borderId="111" xfId="1" applyNumberFormat="1" applyFont="1" applyFill="1" applyBorder="1" applyAlignment="1" applyProtection="1">
      <alignment vertical="center" shrinkToFit="1"/>
      <protection locked="0"/>
    </xf>
    <xf numFmtId="188" fontId="15" fillId="0" borderId="112" xfId="1" applyNumberFormat="1" applyFont="1" applyFill="1" applyBorder="1" applyAlignment="1" applyProtection="1">
      <alignment vertical="center" shrinkToFit="1"/>
      <protection locked="0"/>
    </xf>
    <xf numFmtId="188" fontId="15" fillId="0" borderId="113" xfId="1" applyNumberFormat="1" applyFont="1" applyFill="1" applyBorder="1" applyAlignment="1" applyProtection="1">
      <alignment vertical="center" shrinkToFit="1"/>
      <protection locked="0"/>
    </xf>
    <xf numFmtId="188" fontId="15" fillId="0" borderId="114" xfId="1" applyNumberFormat="1" applyFont="1" applyFill="1" applyBorder="1" applyAlignment="1" applyProtection="1">
      <alignment vertical="center" shrinkToFit="1"/>
      <protection locked="0"/>
    </xf>
    <xf numFmtId="188" fontId="15" fillId="0" borderId="115" xfId="1" applyNumberFormat="1" applyFont="1" applyFill="1" applyBorder="1" applyAlignment="1" applyProtection="1">
      <alignment vertical="center" shrinkToFit="1"/>
      <protection locked="0"/>
    </xf>
    <xf numFmtId="188" fontId="18" fillId="0" borderId="98" xfId="1" applyNumberFormat="1" applyFont="1" applyFill="1" applyBorder="1" applyAlignment="1" applyProtection="1">
      <alignment vertical="center" shrinkToFit="1"/>
      <protection locked="0"/>
    </xf>
    <xf numFmtId="0" fontId="0" fillId="0" borderId="58" xfId="0" applyBorder="1">
      <alignment vertical="center"/>
    </xf>
    <xf numFmtId="56" fontId="15" fillId="6" borderId="58" xfId="0" applyNumberFormat="1" applyFont="1" applyFill="1" applyBorder="1" applyAlignment="1" applyProtection="1">
      <alignment horizontal="center" shrinkToFit="1"/>
      <protection hidden="1"/>
    </xf>
    <xf numFmtId="56" fontId="15" fillId="6" borderId="6" xfId="0" applyNumberFormat="1" applyFont="1" applyFill="1" applyBorder="1" applyAlignment="1" applyProtection="1">
      <alignment horizontal="center" vertical="top" shrinkToFit="1"/>
      <protection hidden="1"/>
    </xf>
    <xf numFmtId="0" fontId="18" fillId="6" borderId="7" xfId="0" applyFont="1" applyFill="1" applyBorder="1" applyAlignment="1" applyProtection="1">
      <alignment vertical="top" wrapText="1"/>
      <protection locked="0"/>
    </xf>
    <xf numFmtId="0" fontId="18" fillId="3" borderId="6" xfId="0" applyFont="1" applyFill="1" applyBorder="1" applyAlignment="1">
      <alignment vertical="center" wrapText="1"/>
    </xf>
    <xf numFmtId="0" fontId="18" fillId="6" borderId="34" xfId="0" applyFont="1" applyFill="1" applyBorder="1" applyAlignment="1">
      <alignment horizontal="center" vertical="center"/>
    </xf>
    <xf numFmtId="184" fontId="43" fillId="0" borderId="21" xfId="0" applyNumberFormat="1" applyFont="1" applyBorder="1" applyAlignment="1" applyProtection="1">
      <alignment horizontal="center" vertical="center" shrinkToFit="1"/>
      <protection hidden="1"/>
    </xf>
    <xf numFmtId="38" fontId="56" fillId="0" borderId="14" xfId="1" applyFont="1" applyFill="1" applyBorder="1" applyAlignment="1">
      <alignment vertical="center"/>
    </xf>
    <xf numFmtId="38" fontId="26" fillId="0" borderId="14" xfId="1" applyFont="1" applyFill="1" applyBorder="1" applyAlignment="1">
      <alignment vertical="center"/>
    </xf>
    <xf numFmtId="38" fontId="56" fillId="0" borderId="142" xfId="1" applyFont="1" applyFill="1" applyBorder="1" applyAlignment="1">
      <alignment vertical="center"/>
    </xf>
    <xf numFmtId="0" fontId="19" fillId="0" borderId="16" xfId="1" applyNumberFormat="1" applyFont="1" applyFill="1" applyBorder="1" applyAlignment="1" applyProtection="1">
      <alignment horizontal="left" vertical="center" wrapText="1"/>
      <protection locked="0"/>
    </xf>
    <xf numFmtId="38" fontId="56" fillId="0" borderId="29" xfId="1" applyFont="1" applyFill="1" applyBorder="1" applyAlignment="1">
      <alignment vertical="center"/>
    </xf>
    <xf numFmtId="38" fontId="54" fillId="0" borderId="30" xfId="1" applyFont="1" applyFill="1" applyBorder="1" applyAlignment="1">
      <alignment vertical="center"/>
    </xf>
    <xf numFmtId="0" fontId="42" fillId="0" borderId="4" xfId="0" applyFont="1" applyBorder="1" applyAlignment="1">
      <alignment horizontal="center" vertical="center"/>
    </xf>
    <xf numFmtId="0" fontId="19" fillId="0" borderId="45" xfId="1" applyNumberFormat="1" applyFont="1" applyBorder="1" applyAlignment="1" applyProtection="1">
      <alignment horizontal="left" vertical="center" wrapText="1"/>
      <protection locked="0"/>
    </xf>
    <xf numFmtId="0" fontId="58" fillId="0" borderId="39" xfId="1" applyNumberFormat="1" applyFont="1" applyFill="1" applyBorder="1" applyAlignment="1" applyProtection="1">
      <alignment vertical="center" wrapText="1"/>
      <protection hidden="1"/>
    </xf>
    <xf numFmtId="188" fontId="15" fillId="0" borderId="144" xfId="1" applyNumberFormat="1" applyFont="1" applyBorder="1" applyAlignment="1" applyProtection="1">
      <alignment vertical="center" shrinkToFit="1"/>
      <protection locked="0"/>
    </xf>
    <xf numFmtId="0" fontId="18" fillId="2" borderId="26" xfId="0" applyFont="1" applyFill="1" applyBorder="1" applyAlignment="1" applyProtection="1">
      <alignment horizontal="center" vertical="center"/>
      <protection hidden="1"/>
    </xf>
    <xf numFmtId="0" fontId="18" fillId="2" borderId="8" xfId="0" applyFont="1" applyFill="1" applyBorder="1" applyAlignment="1" applyProtection="1">
      <alignment horizontal="center" vertical="center"/>
      <protection hidden="1"/>
    </xf>
    <xf numFmtId="38" fontId="56" fillId="0" borderId="41" xfId="1" applyFont="1" applyFill="1" applyBorder="1" applyAlignment="1" applyProtection="1">
      <alignment vertical="center"/>
      <protection hidden="1"/>
    </xf>
    <xf numFmtId="38" fontId="56" fillId="0" borderId="43" xfId="1" applyFont="1" applyFill="1" applyBorder="1" applyAlignment="1" applyProtection="1">
      <alignment vertical="center"/>
      <protection hidden="1"/>
    </xf>
    <xf numFmtId="38" fontId="56" fillId="0" borderId="42" xfId="1" applyFont="1" applyFill="1" applyBorder="1" applyAlignment="1" applyProtection="1">
      <alignment vertical="center"/>
      <protection hidden="1"/>
    </xf>
    <xf numFmtId="0" fontId="46" fillId="0" borderId="0" xfId="0" applyFont="1" applyAlignment="1" applyProtection="1">
      <alignment vertical="center" wrapText="1"/>
      <protection hidden="1"/>
    </xf>
    <xf numFmtId="0" fontId="57" fillId="0" borderId="0" xfId="0" applyFont="1" applyAlignment="1" applyProtection="1">
      <alignment vertical="center" wrapText="1"/>
      <protection hidden="1"/>
    </xf>
    <xf numFmtId="0" fontId="18" fillId="2" borderId="61" xfId="0" applyFont="1" applyFill="1" applyBorder="1" applyAlignment="1">
      <alignment horizontal="center" vertical="center"/>
    </xf>
    <xf numFmtId="0" fontId="28" fillId="2" borderId="8" xfId="0" applyFont="1" applyFill="1" applyBorder="1" applyAlignment="1" applyProtection="1">
      <alignment vertical="center" textRotation="255" shrinkToFit="1"/>
      <protection hidden="1"/>
    </xf>
    <xf numFmtId="0" fontId="18" fillId="2" borderId="61" xfId="0" applyFont="1" applyFill="1" applyBorder="1" applyAlignment="1" applyProtection="1">
      <alignment horizontal="center" vertical="center"/>
      <protection hidden="1"/>
    </xf>
    <xf numFmtId="0" fontId="18" fillId="2" borderId="10" xfId="0" applyFont="1" applyFill="1" applyBorder="1" applyAlignment="1" applyProtection="1">
      <alignment horizontal="center" vertical="center" wrapText="1"/>
      <protection hidden="1"/>
    </xf>
    <xf numFmtId="0" fontId="15" fillId="3" borderId="30" xfId="0" applyFont="1" applyFill="1" applyBorder="1" applyAlignment="1"/>
    <xf numFmtId="0" fontId="28" fillId="3" borderId="0" xfId="0" applyFont="1" applyFill="1">
      <alignment vertical="center"/>
    </xf>
    <xf numFmtId="0" fontId="59" fillId="3" borderId="6" xfId="0" applyFont="1" applyFill="1" applyBorder="1" applyAlignment="1">
      <alignment vertical="top" shrinkToFit="1"/>
    </xf>
    <xf numFmtId="0" fontId="27" fillId="0" borderId="30" xfId="0" applyFont="1" applyBorder="1" applyAlignment="1">
      <alignment horizontal="center" vertical="center"/>
    </xf>
    <xf numFmtId="176" fontId="40" fillId="0" borderId="4" xfId="0" applyNumberFormat="1" applyFont="1" applyBorder="1" applyAlignment="1" applyProtection="1">
      <alignment horizontal="center" vertical="center" shrinkToFit="1"/>
      <protection locked="0"/>
    </xf>
    <xf numFmtId="188" fontId="15" fillId="6" borderId="145" xfId="1" applyNumberFormat="1" applyFont="1" applyFill="1" applyBorder="1" applyAlignment="1" applyProtection="1">
      <alignment vertical="center" shrinkToFit="1"/>
    </xf>
    <xf numFmtId="0" fontId="28" fillId="3" borderId="58" xfId="0" applyFont="1" applyFill="1" applyBorder="1" applyAlignment="1" applyProtection="1">
      <alignment vertical="center" wrapText="1" shrinkToFit="1"/>
      <protection hidden="1"/>
    </xf>
    <xf numFmtId="0" fontId="28" fillId="3" borderId="0" xfId="0" applyFont="1" applyFill="1" applyAlignment="1" applyProtection="1">
      <alignment vertical="center" wrapText="1" shrinkToFit="1"/>
      <protection hidden="1"/>
    </xf>
    <xf numFmtId="0" fontId="28" fillId="3" borderId="48" xfId="0" applyFont="1" applyFill="1" applyBorder="1" applyAlignment="1" applyProtection="1">
      <alignment vertical="center" wrapText="1" shrinkToFit="1"/>
      <protection hidden="1"/>
    </xf>
    <xf numFmtId="0" fontId="28" fillId="3" borderId="38" xfId="0" applyFont="1" applyFill="1" applyBorder="1" applyAlignment="1" applyProtection="1">
      <alignment vertical="center" wrapText="1" shrinkToFit="1"/>
      <protection hidden="1"/>
    </xf>
    <xf numFmtId="0" fontId="28" fillId="3" borderId="29" xfId="0" applyFont="1" applyFill="1" applyBorder="1" applyAlignment="1" applyProtection="1">
      <alignment vertical="center" wrapText="1" shrinkToFit="1"/>
      <protection hidden="1"/>
    </xf>
    <xf numFmtId="0" fontId="28" fillId="3" borderId="39" xfId="0" applyFont="1" applyFill="1" applyBorder="1" applyAlignment="1" applyProtection="1">
      <alignment vertical="center" wrapText="1" shrinkToFit="1"/>
      <protection hidden="1"/>
    </xf>
    <xf numFmtId="188" fontId="15" fillId="0" borderId="142" xfId="1" applyNumberFormat="1" applyFont="1" applyFill="1" applyBorder="1" applyAlignment="1" applyProtection="1">
      <alignment vertical="center" shrinkToFit="1"/>
      <protection locked="0"/>
    </xf>
    <xf numFmtId="0" fontId="26" fillId="4" borderId="65" xfId="0" applyFont="1" applyFill="1" applyBorder="1" applyAlignment="1">
      <alignment horizontal="center" vertical="center" shrinkToFit="1"/>
    </xf>
    <xf numFmtId="0" fontId="26" fillId="4" borderId="77" xfId="0" applyFont="1" applyFill="1" applyBorder="1" applyAlignment="1">
      <alignment horizontal="center" vertical="center" shrinkToFit="1"/>
    </xf>
    <xf numFmtId="0" fontId="32" fillId="0" borderId="53" xfId="0" applyFont="1" applyBorder="1" applyAlignment="1" applyProtection="1">
      <alignment horizontal="center" vertical="center" shrinkToFit="1"/>
      <protection locked="0"/>
    </xf>
    <xf numFmtId="49" fontId="18" fillId="0" borderId="16" xfId="0" applyNumberFormat="1" applyFont="1" applyBorder="1" applyAlignment="1" applyProtection="1">
      <alignment horizontal="left" vertical="center" shrinkToFit="1"/>
      <protection locked="0"/>
    </xf>
    <xf numFmtId="180" fontId="18" fillId="0" borderId="52" xfId="0" applyNumberFormat="1" applyFont="1" applyBorder="1" applyAlignment="1" applyProtection="1">
      <alignment horizontal="center" vertical="center" shrinkToFit="1"/>
      <protection hidden="1"/>
    </xf>
    <xf numFmtId="0" fontId="32" fillId="0" borderId="26" xfId="0" applyFont="1" applyBorder="1" applyAlignment="1" applyProtection="1">
      <alignment horizontal="center" vertical="center"/>
      <protection hidden="1"/>
    </xf>
    <xf numFmtId="0" fontId="21" fillId="0" borderId="26" xfId="0" applyFont="1" applyBorder="1" applyAlignment="1" applyProtection="1">
      <alignment horizontal="center" vertical="center"/>
      <protection hidden="1"/>
    </xf>
    <xf numFmtId="0" fontId="21" fillId="0" borderId="61" xfId="0" applyFont="1" applyBorder="1" applyAlignment="1" applyProtection="1">
      <alignment horizontal="center" vertical="center"/>
      <protection hidden="1"/>
    </xf>
    <xf numFmtId="180" fontId="18" fillId="0" borderId="19" xfId="0" applyNumberFormat="1" applyFont="1" applyBorder="1" applyAlignment="1" applyProtection="1">
      <alignment horizontal="center" vertical="center" shrinkToFit="1"/>
      <protection hidden="1"/>
    </xf>
    <xf numFmtId="180" fontId="18" fillId="0" borderId="94" xfId="0" applyNumberFormat="1" applyFont="1" applyBorder="1" applyAlignment="1" applyProtection="1">
      <alignment horizontal="center" vertical="center" shrinkToFit="1"/>
      <protection hidden="1"/>
    </xf>
    <xf numFmtId="183" fontId="15" fillId="0" borderId="52" xfId="0" applyNumberFormat="1" applyFont="1" applyBorder="1" applyAlignment="1" applyProtection="1">
      <alignment horizontal="right" vertical="center" indent="1" shrinkToFit="1"/>
      <protection hidden="1"/>
    </xf>
    <xf numFmtId="183" fontId="15" fillId="0" borderId="83" xfId="0" applyNumberFormat="1" applyFont="1" applyBorder="1" applyAlignment="1">
      <alignment horizontal="right" vertical="center" indent="1"/>
    </xf>
    <xf numFmtId="183" fontId="15" fillId="0" borderId="94" xfId="0" applyNumberFormat="1" applyFont="1" applyBorder="1" applyAlignment="1" applyProtection="1">
      <alignment horizontal="right" vertical="center" indent="1" shrinkToFit="1"/>
      <protection hidden="1"/>
    </xf>
    <xf numFmtId="183" fontId="15" fillId="0" borderId="93" xfId="0" applyNumberFormat="1" applyFont="1" applyBorder="1" applyAlignment="1">
      <alignment horizontal="right" vertical="center" indent="1"/>
    </xf>
    <xf numFmtId="183" fontId="18" fillId="0" borderId="19" xfId="0" applyNumberFormat="1" applyFont="1" applyBorder="1" applyAlignment="1" applyProtection="1">
      <alignment horizontal="right" vertical="center" indent="1" shrinkToFit="1"/>
      <protection hidden="1"/>
    </xf>
    <xf numFmtId="0" fontId="15" fillId="0" borderId="0" xfId="0" applyFont="1" applyProtection="1">
      <alignment vertical="center"/>
      <protection hidden="1"/>
    </xf>
    <xf numFmtId="183" fontId="18" fillId="0" borderId="77" xfId="0" applyNumberFormat="1" applyFont="1" applyBorder="1" applyAlignment="1" applyProtection="1">
      <alignment horizontal="right" vertical="center" indent="1" shrinkToFit="1"/>
      <protection hidden="1"/>
    </xf>
    <xf numFmtId="0" fontId="18" fillId="2" borderId="31" xfId="0" applyFont="1" applyFill="1" applyBorder="1" applyAlignment="1">
      <alignment horizontal="center" vertical="center" wrapText="1"/>
    </xf>
    <xf numFmtId="0" fontId="18" fillId="2" borderId="33" xfId="0" applyFont="1" applyFill="1" applyBorder="1" applyAlignment="1">
      <alignment horizontal="center" vertical="center" wrapText="1"/>
    </xf>
    <xf numFmtId="0" fontId="18" fillId="0" borderId="59" xfId="0" applyFont="1" applyBorder="1" applyAlignment="1">
      <alignment horizontal="center" vertical="center"/>
    </xf>
    <xf numFmtId="0" fontId="18" fillId="6" borderId="7" xfId="0" applyFont="1" applyFill="1" applyBorder="1" applyAlignment="1" applyProtection="1">
      <alignment horizontal="left" vertical="center" shrinkToFit="1"/>
      <protection hidden="1"/>
    </xf>
    <xf numFmtId="56" fontId="19" fillId="0" borderId="21" xfId="1" applyNumberFormat="1" applyFont="1" applyBorder="1" applyAlignment="1" applyProtection="1">
      <alignment horizontal="left" vertical="center" wrapText="1"/>
      <protection locked="0"/>
    </xf>
    <xf numFmtId="56" fontId="19" fillId="0" borderId="16" xfId="1" applyNumberFormat="1" applyFont="1" applyBorder="1" applyAlignment="1" applyProtection="1">
      <alignment horizontal="left" vertical="center" wrapText="1"/>
      <protection locked="0"/>
    </xf>
    <xf numFmtId="188" fontId="18" fillId="6" borderId="104" xfId="1" applyNumberFormat="1" applyFont="1" applyFill="1" applyBorder="1" applyProtection="1">
      <alignment vertical="center"/>
      <protection hidden="1"/>
    </xf>
    <xf numFmtId="188" fontId="18" fillId="6" borderId="138" xfId="1" applyNumberFormat="1" applyFont="1" applyFill="1" applyBorder="1" applyProtection="1">
      <alignment vertical="center"/>
      <protection hidden="1"/>
    </xf>
    <xf numFmtId="188" fontId="18" fillId="6" borderId="135" xfId="1" applyNumberFormat="1" applyFont="1" applyFill="1" applyBorder="1" applyProtection="1">
      <alignment vertical="center"/>
      <protection hidden="1"/>
    </xf>
    <xf numFmtId="0" fontId="18" fillId="2" borderId="151" xfId="0" applyFont="1" applyFill="1" applyBorder="1" applyAlignment="1">
      <alignment horizontal="center" vertical="center" wrapText="1"/>
    </xf>
    <xf numFmtId="0" fontId="18" fillId="2" borderId="152" xfId="0" applyFont="1" applyFill="1" applyBorder="1" applyAlignment="1">
      <alignment horizontal="center" vertical="center"/>
    </xf>
    <xf numFmtId="0" fontId="28" fillId="0" borderId="153" xfId="1" applyNumberFormat="1" applyFont="1" applyBorder="1" applyAlignment="1" applyProtection="1">
      <alignment horizontal="left" vertical="center"/>
      <protection locked="0"/>
    </xf>
    <xf numFmtId="0" fontId="18" fillId="0" borderId="132" xfId="0" applyFont="1" applyBorder="1" applyAlignment="1" applyProtection="1">
      <alignment horizontal="left" vertical="center" wrapText="1"/>
      <protection locked="0"/>
    </xf>
    <xf numFmtId="0" fontId="18" fillId="0" borderId="154" xfId="0" applyFont="1" applyBorder="1" applyAlignment="1" applyProtection="1">
      <alignment horizontal="left" vertical="center" wrapText="1"/>
      <protection locked="0"/>
    </xf>
    <xf numFmtId="0" fontId="28" fillId="0" borderId="136" xfId="1" applyNumberFormat="1" applyFont="1" applyBorder="1" applyAlignment="1" applyProtection="1">
      <alignment horizontal="left" vertical="center"/>
      <protection locked="0"/>
    </xf>
    <xf numFmtId="0" fontId="18" fillId="0" borderId="158" xfId="0" applyFont="1" applyBorder="1" applyAlignment="1" applyProtection="1">
      <alignment horizontal="left" vertical="center" wrapText="1"/>
      <protection locked="0"/>
    </xf>
    <xf numFmtId="38" fontId="18" fillId="0" borderId="156" xfId="1" applyFont="1" applyBorder="1" applyAlignment="1">
      <alignment vertical="center"/>
    </xf>
    <xf numFmtId="38" fontId="18" fillId="0" borderId="156" xfId="1" applyFont="1" applyBorder="1" applyAlignment="1">
      <alignment vertical="center" wrapText="1"/>
    </xf>
    <xf numFmtId="38" fontId="18" fillId="0" borderId="142" xfId="1" applyFont="1" applyBorder="1" applyAlignment="1">
      <alignment vertical="center" wrapText="1"/>
    </xf>
    <xf numFmtId="38" fontId="18" fillId="0" borderId="157" xfId="1" applyFont="1" applyBorder="1" applyAlignment="1">
      <alignment vertical="center" wrapText="1"/>
    </xf>
    <xf numFmtId="38" fontId="18" fillId="0" borderId="155" xfId="1" applyFont="1" applyBorder="1" applyAlignment="1" applyProtection="1">
      <alignment vertical="center"/>
      <protection hidden="1"/>
    </xf>
    <xf numFmtId="0" fontId="28" fillId="0" borderId="11" xfId="0" applyFont="1" applyBorder="1" applyAlignment="1" applyProtection="1">
      <alignment horizontal="left" vertical="center" shrinkToFit="1"/>
      <protection locked="0"/>
    </xf>
    <xf numFmtId="0" fontId="18" fillId="0" borderId="13" xfId="0" applyFont="1" applyBorder="1" applyAlignment="1" applyProtection="1">
      <alignment vertical="center" shrinkToFit="1"/>
      <protection hidden="1"/>
    </xf>
    <xf numFmtId="38" fontId="18" fillId="0" borderId="47" xfId="1" applyFont="1" applyFill="1" applyBorder="1" applyAlignment="1" applyProtection="1">
      <alignment vertical="center"/>
    </xf>
    <xf numFmtId="188" fontId="15" fillId="6" borderId="1" xfId="1" applyNumberFormat="1" applyFont="1" applyFill="1" applyBorder="1" applyAlignment="1" applyProtection="1">
      <alignment vertical="center" shrinkToFit="1"/>
    </xf>
    <xf numFmtId="0" fontId="20" fillId="2" borderId="8" xfId="0" applyFont="1" applyFill="1" applyBorder="1">
      <alignment vertical="center"/>
    </xf>
    <xf numFmtId="0" fontId="20" fillId="2" borderId="9" xfId="0" applyFont="1" applyFill="1" applyBorder="1">
      <alignment vertical="center"/>
    </xf>
    <xf numFmtId="0" fontId="20" fillId="2" borderId="9" xfId="0" applyFont="1" applyFill="1" applyBorder="1" applyAlignment="1">
      <alignment horizontal="right" vertical="center"/>
    </xf>
    <xf numFmtId="0" fontId="20" fillId="2" borderId="9" xfId="0" applyFont="1" applyFill="1" applyBorder="1" applyAlignment="1">
      <alignment horizontal="left" vertical="center" indent="1"/>
    </xf>
    <xf numFmtId="0" fontId="20" fillId="2" borderId="10" xfId="0" applyFont="1" applyFill="1" applyBorder="1" applyAlignment="1">
      <alignment horizontal="right" vertical="center"/>
    </xf>
    <xf numFmtId="0" fontId="27" fillId="0" borderId="58" xfId="0" applyFont="1" applyBorder="1" applyAlignment="1">
      <alignment vertical="top" wrapText="1"/>
    </xf>
    <xf numFmtId="0" fontId="27" fillId="0" borderId="0" xfId="0" applyFont="1" applyAlignment="1">
      <alignment vertical="top" wrapText="1"/>
    </xf>
    <xf numFmtId="176" fontId="43" fillId="0" borderId="4" xfId="0" applyNumberFormat="1" applyFont="1" applyBorder="1" applyAlignment="1" applyProtection="1">
      <alignment horizontal="center" vertical="center" shrinkToFit="1"/>
      <protection locked="0"/>
    </xf>
    <xf numFmtId="0" fontId="0" fillId="4" borderId="8" xfId="0" applyFill="1" applyBorder="1" applyAlignment="1" applyProtection="1">
      <alignment horizontal="right" vertical="center"/>
      <protection hidden="1"/>
    </xf>
    <xf numFmtId="0" fontId="18" fillId="0" borderId="12" xfId="0" applyFont="1" applyBorder="1" applyAlignment="1" applyProtection="1">
      <alignment horizontal="left" vertical="center" shrinkToFit="1"/>
      <protection hidden="1"/>
    </xf>
    <xf numFmtId="0" fontId="28" fillId="0" borderId="11" xfId="0" applyFont="1" applyBorder="1" applyAlignment="1" applyProtection="1">
      <alignment horizontal="left" vertical="center" shrinkToFit="1"/>
      <protection hidden="1"/>
    </xf>
    <xf numFmtId="49" fontId="18" fillId="0" borderId="16" xfId="0" applyNumberFormat="1" applyFont="1" applyBorder="1" applyAlignment="1" applyProtection="1">
      <alignment horizontal="left" vertical="center" shrinkToFit="1"/>
      <protection hidden="1"/>
    </xf>
    <xf numFmtId="0" fontId="15" fillId="3" borderId="1" xfId="0" applyFont="1" applyFill="1" applyBorder="1" applyProtection="1">
      <alignment vertical="center"/>
      <protection hidden="1"/>
    </xf>
    <xf numFmtId="0" fontId="18" fillId="7" borderId="51" xfId="0" applyFont="1" applyFill="1" applyBorder="1" applyAlignment="1" applyProtection="1">
      <alignment horizontal="center" vertical="center"/>
      <protection hidden="1"/>
    </xf>
    <xf numFmtId="0" fontId="18" fillId="7" borderId="52" xfId="0" applyFont="1" applyFill="1" applyBorder="1" applyAlignment="1" applyProtection="1">
      <alignment horizontal="center" vertical="center"/>
      <protection hidden="1"/>
    </xf>
    <xf numFmtId="0" fontId="18" fillId="7" borderId="83" xfId="0" applyFont="1" applyFill="1" applyBorder="1" applyAlignment="1" applyProtection="1">
      <alignment horizontal="center" vertical="center"/>
      <protection hidden="1"/>
    </xf>
    <xf numFmtId="0" fontId="18" fillId="0" borderId="51" xfId="0" applyFont="1" applyBorder="1" applyAlignment="1" applyProtection="1">
      <alignment horizontal="center" vertical="center"/>
      <protection hidden="1"/>
    </xf>
    <xf numFmtId="0" fontId="18" fillId="0" borderId="52" xfId="0" applyFont="1" applyBorder="1" applyAlignment="1" applyProtection="1">
      <alignment horizontal="center" vertical="center"/>
      <protection hidden="1"/>
    </xf>
    <xf numFmtId="0" fontId="18" fillId="0" borderId="83" xfId="0" applyFont="1" applyBorder="1" applyAlignment="1" applyProtection="1">
      <alignment horizontal="center" vertical="center"/>
      <protection hidden="1"/>
    </xf>
    <xf numFmtId="0" fontId="18" fillId="0" borderId="92" xfId="0" applyFont="1" applyBorder="1" applyAlignment="1" applyProtection="1">
      <alignment horizontal="center" vertical="center"/>
      <protection hidden="1"/>
    </xf>
    <xf numFmtId="0" fontId="18" fillId="0" borderId="94" xfId="0" applyFont="1" applyBorder="1" applyAlignment="1" applyProtection="1">
      <alignment horizontal="center" vertical="center"/>
      <protection hidden="1"/>
    </xf>
    <xf numFmtId="0" fontId="18" fillId="0" borderId="93" xfId="0" applyFont="1" applyBorder="1" applyAlignment="1" applyProtection="1">
      <alignment horizontal="center" vertical="center"/>
      <protection hidden="1"/>
    </xf>
    <xf numFmtId="0" fontId="18" fillId="3" borderId="159" xfId="0" applyFont="1" applyFill="1" applyBorder="1" applyAlignment="1">
      <alignment horizontal="center" vertical="center" shrinkToFit="1"/>
    </xf>
    <xf numFmtId="0" fontId="18" fillId="3" borderId="84" xfId="0" applyFont="1" applyFill="1" applyBorder="1" applyAlignment="1">
      <alignment horizontal="center" vertical="center" shrinkToFit="1"/>
    </xf>
    <xf numFmtId="0" fontId="18" fillId="3" borderId="160" xfId="0" applyFont="1" applyFill="1" applyBorder="1" applyAlignment="1">
      <alignment horizontal="center" vertical="center" shrinkToFit="1"/>
    </xf>
    <xf numFmtId="0" fontId="18" fillId="3" borderId="71" xfId="0" applyFont="1" applyFill="1" applyBorder="1" applyAlignment="1">
      <alignment horizontal="center" vertical="center"/>
    </xf>
    <xf numFmtId="0" fontId="17" fillId="0" borderId="59" xfId="0" applyFont="1" applyBorder="1">
      <alignment vertical="center"/>
    </xf>
    <xf numFmtId="0" fontId="17" fillId="0" borderId="0" xfId="0" applyFont="1" applyAlignment="1">
      <alignment horizontal="center" vertical="center"/>
    </xf>
    <xf numFmtId="0" fontId="24" fillId="0" borderId="59" xfId="0" applyFont="1" applyBorder="1">
      <alignment vertical="center"/>
    </xf>
    <xf numFmtId="0" fontId="47" fillId="0" borderId="59" xfId="0" applyFont="1" applyBorder="1">
      <alignment vertical="center"/>
    </xf>
    <xf numFmtId="0" fontId="17" fillId="0" borderId="150" xfId="0" applyFont="1" applyBorder="1">
      <alignment vertical="center"/>
    </xf>
    <xf numFmtId="0" fontId="17" fillId="0" borderId="149" xfId="0" applyFont="1" applyBorder="1">
      <alignment vertical="center"/>
    </xf>
    <xf numFmtId="0" fontId="17" fillId="0" borderId="10" xfId="0" applyFont="1" applyBorder="1">
      <alignment vertical="center"/>
    </xf>
    <xf numFmtId="0" fontId="47" fillId="0" borderId="0" xfId="0" applyFont="1" applyAlignment="1">
      <alignment vertical="center" wrapText="1"/>
    </xf>
    <xf numFmtId="0" fontId="17" fillId="0" borderId="0" xfId="0" applyFont="1" applyAlignment="1">
      <alignment horizontal="left" vertical="center"/>
    </xf>
    <xf numFmtId="0" fontId="18" fillId="0" borderId="51" xfId="0" applyFont="1" applyBorder="1" applyAlignment="1">
      <alignment horizontal="center" vertical="center"/>
    </xf>
    <xf numFmtId="0" fontId="18" fillId="0" borderId="52" xfId="0" applyFont="1" applyBorder="1" applyAlignment="1">
      <alignment horizontal="center" vertical="center"/>
    </xf>
    <xf numFmtId="0" fontId="18" fillId="0" borderId="83" xfId="0" applyFont="1" applyBorder="1" applyAlignment="1">
      <alignment horizontal="center" vertical="center"/>
    </xf>
    <xf numFmtId="0" fontId="15" fillId="6" borderId="161" xfId="0" applyFont="1" applyFill="1" applyBorder="1" applyProtection="1">
      <alignment vertical="center"/>
      <protection hidden="1"/>
    </xf>
    <xf numFmtId="0" fontId="15" fillId="6" borderId="162" xfId="0" applyFont="1" applyFill="1" applyBorder="1" applyProtection="1">
      <alignment vertical="center"/>
      <protection hidden="1"/>
    </xf>
    <xf numFmtId="0" fontId="49" fillId="6" borderId="162" xfId="0" applyFont="1" applyFill="1" applyBorder="1" applyProtection="1">
      <alignment vertical="center"/>
      <protection hidden="1"/>
    </xf>
    <xf numFmtId="176" fontId="15" fillId="6" borderId="162" xfId="0" applyNumberFormat="1" applyFont="1" applyFill="1" applyBorder="1" applyProtection="1">
      <alignment vertical="center"/>
      <protection hidden="1"/>
    </xf>
    <xf numFmtId="0" fontId="15" fillId="6" borderId="163" xfId="0" applyFont="1" applyFill="1" applyBorder="1" applyProtection="1">
      <alignment vertical="center"/>
      <protection hidden="1"/>
    </xf>
    <xf numFmtId="0" fontId="15" fillId="6" borderId="164" xfId="0" applyFont="1" applyFill="1" applyBorder="1" applyProtection="1">
      <alignment vertical="center"/>
      <protection hidden="1"/>
    </xf>
    <xf numFmtId="0" fontId="15" fillId="6" borderId="165" xfId="0" applyFont="1" applyFill="1" applyBorder="1" applyProtection="1">
      <alignment vertical="center"/>
      <protection hidden="1"/>
    </xf>
    <xf numFmtId="0" fontId="15" fillId="6" borderId="166" xfId="0" applyFont="1" applyFill="1" applyBorder="1" applyProtection="1">
      <alignment vertical="center"/>
      <protection hidden="1"/>
    </xf>
    <xf numFmtId="0" fontId="15" fillId="6" borderId="167" xfId="0" applyFont="1" applyFill="1" applyBorder="1" applyProtection="1">
      <alignment vertical="center"/>
      <protection hidden="1"/>
    </xf>
    <xf numFmtId="0" fontId="49" fillId="6" borderId="167" xfId="0" applyFont="1" applyFill="1" applyBorder="1" applyProtection="1">
      <alignment vertical="center"/>
      <protection hidden="1"/>
    </xf>
    <xf numFmtId="176" fontId="15" fillId="6" borderId="167" xfId="0" applyNumberFormat="1" applyFont="1" applyFill="1" applyBorder="1" applyProtection="1">
      <alignment vertical="center"/>
      <protection hidden="1"/>
    </xf>
    <xf numFmtId="0" fontId="15" fillId="6" borderId="168" xfId="0" applyFont="1" applyFill="1" applyBorder="1" applyProtection="1">
      <alignment vertical="center"/>
      <protection hidden="1"/>
    </xf>
    <xf numFmtId="188" fontId="15" fillId="6" borderId="67" xfId="1" applyNumberFormat="1" applyFont="1" applyFill="1" applyBorder="1" applyAlignment="1" applyProtection="1">
      <alignment vertical="center" shrinkToFit="1"/>
    </xf>
    <xf numFmtId="188" fontId="15" fillId="6" borderId="66" xfId="1" applyNumberFormat="1" applyFont="1" applyFill="1" applyBorder="1" applyAlignment="1" applyProtection="1">
      <alignment vertical="center" shrinkToFit="1"/>
    </xf>
    <xf numFmtId="0" fontId="15" fillId="0" borderId="59" xfId="0" applyFont="1" applyBorder="1" applyAlignment="1" applyProtection="1">
      <alignment vertical="center" wrapText="1"/>
      <protection locked="0"/>
    </xf>
    <xf numFmtId="188" fontId="15" fillId="0" borderId="107" xfId="1" applyNumberFormat="1" applyFont="1" applyFill="1" applyBorder="1" applyAlignment="1" applyProtection="1">
      <alignment vertical="center" shrinkToFit="1"/>
      <protection locked="0"/>
    </xf>
    <xf numFmtId="188" fontId="15" fillId="0" borderId="108" xfId="0" applyNumberFormat="1" applyFont="1" applyBorder="1" applyAlignment="1" applyProtection="1">
      <alignment vertical="center" shrinkToFit="1"/>
      <protection locked="0"/>
    </xf>
    <xf numFmtId="0" fontId="19" fillId="6" borderId="4" xfId="0" applyFont="1" applyFill="1" applyBorder="1" applyAlignment="1">
      <alignment horizontal="center" vertical="center"/>
    </xf>
    <xf numFmtId="0" fontId="19" fillId="6" borderId="23" xfId="0" applyFont="1" applyFill="1" applyBorder="1" applyAlignment="1">
      <alignment horizontal="center" vertical="center"/>
    </xf>
    <xf numFmtId="0" fontId="19" fillId="6" borderId="13" xfId="0" applyFont="1" applyFill="1" applyBorder="1" applyAlignment="1">
      <alignment horizontal="center" vertical="center"/>
    </xf>
    <xf numFmtId="0" fontId="19" fillId="6" borderId="36" xfId="0" applyFont="1" applyFill="1" applyBorder="1" applyAlignment="1">
      <alignment horizontal="center" vertical="center"/>
    </xf>
    <xf numFmtId="0" fontId="19" fillId="6" borderId="14" xfId="0" applyFont="1" applyFill="1" applyBorder="1" applyAlignment="1">
      <alignment horizontal="center" vertical="center"/>
    </xf>
    <xf numFmtId="188" fontId="15" fillId="6" borderId="87" xfId="1" applyNumberFormat="1" applyFont="1" applyFill="1" applyBorder="1" applyAlignment="1" applyProtection="1">
      <alignment vertical="center" shrinkToFit="1"/>
    </xf>
    <xf numFmtId="188" fontId="15" fillId="6" borderId="12" xfId="1" applyNumberFormat="1" applyFont="1" applyFill="1" applyBorder="1" applyAlignment="1" applyProtection="1">
      <alignment vertical="center" shrinkToFit="1"/>
    </xf>
    <xf numFmtId="188" fontId="15" fillId="6" borderId="18" xfId="1" applyNumberFormat="1" applyFont="1" applyFill="1" applyBorder="1" applyAlignment="1" applyProtection="1">
      <alignment vertical="center" shrinkToFit="1"/>
    </xf>
    <xf numFmtId="188" fontId="15" fillId="6" borderId="52" xfId="1" applyNumberFormat="1" applyFont="1" applyFill="1" applyBorder="1" applyAlignment="1" applyProtection="1">
      <alignment vertical="center" shrinkToFit="1"/>
    </xf>
    <xf numFmtId="177" fontId="15" fillId="6" borderId="106" xfId="0" applyNumberFormat="1" applyFont="1" applyFill="1" applyBorder="1" applyAlignment="1">
      <alignment horizontal="center" vertical="center"/>
    </xf>
    <xf numFmtId="188" fontId="18" fillId="6" borderId="27" xfId="1" applyNumberFormat="1" applyFont="1" applyFill="1" applyBorder="1" applyAlignment="1" applyProtection="1">
      <alignment vertical="center" shrinkToFit="1"/>
    </xf>
    <xf numFmtId="188" fontId="18" fillId="6" borderId="63" xfId="1" applyNumberFormat="1" applyFont="1" applyFill="1" applyBorder="1" applyAlignment="1" applyProtection="1">
      <alignment vertical="center" shrinkToFit="1"/>
    </xf>
    <xf numFmtId="38" fontId="18" fillId="6" borderId="62" xfId="1" applyFont="1" applyFill="1" applyBorder="1" applyProtection="1">
      <alignment vertical="center"/>
    </xf>
    <xf numFmtId="188" fontId="18" fillId="6" borderId="66" xfId="1" applyNumberFormat="1" applyFont="1" applyFill="1" applyBorder="1" applyAlignment="1" applyProtection="1">
      <alignment vertical="center" shrinkToFit="1"/>
    </xf>
    <xf numFmtId="188" fontId="18" fillId="6" borderId="19" xfId="1" applyNumberFormat="1" applyFont="1" applyFill="1" applyBorder="1" applyAlignment="1" applyProtection="1">
      <alignment vertical="center" shrinkToFit="1"/>
    </xf>
    <xf numFmtId="188" fontId="18" fillId="6" borderId="77" xfId="1" applyNumberFormat="1" applyFont="1" applyFill="1" applyBorder="1" applyAlignment="1" applyProtection="1">
      <alignment vertical="center" shrinkToFit="1"/>
    </xf>
    <xf numFmtId="0" fontId="0" fillId="6" borderId="0" xfId="0" applyFill="1">
      <alignment vertical="center"/>
    </xf>
    <xf numFmtId="0" fontId="4" fillId="6" borderId="0" xfId="0" applyFont="1" applyFill="1" applyAlignment="1">
      <alignment horizontal="left"/>
    </xf>
    <xf numFmtId="0" fontId="4" fillId="6" borderId="0" xfId="0" applyFont="1" applyFill="1" applyAlignment="1">
      <alignment horizontal="left" vertical="center"/>
    </xf>
    <xf numFmtId="0" fontId="60" fillId="6" borderId="0" xfId="0" applyFont="1" applyFill="1">
      <alignment vertical="center"/>
    </xf>
    <xf numFmtId="0" fontId="0" fillId="6" borderId="0" xfId="0" applyFill="1" applyAlignment="1">
      <alignment horizontal="center" vertical="center"/>
    </xf>
    <xf numFmtId="0" fontId="67" fillId="6" borderId="0" xfId="0" applyFont="1" applyFill="1" applyAlignment="1">
      <alignment horizontal="right" vertical="center"/>
    </xf>
    <xf numFmtId="187" fontId="67" fillId="6" borderId="0" xfId="0" applyNumberFormat="1" applyFont="1" applyFill="1" applyAlignment="1">
      <alignment horizontal="left" vertical="center"/>
    </xf>
    <xf numFmtId="0" fontId="69" fillId="6" borderId="0" xfId="0" applyFont="1" applyFill="1">
      <alignment vertical="center"/>
    </xf>
    <xf numFmtId="0" fontId="70" fillId="6" borderId="59" xfId="0" applyFont="1" applyFill="1" applyBorder="1" applyAlignment="1">
      <alignment vertical="center" wrapText="1"/>
    </xf>
    <xf numFmtId="0" fontId="70" fillId="6" borderId="63" xfId="0" applyFont="1" applyFill="1" applyBorder="1" applyAlignment="1">
      <alignment vertical="center" wrapText="1"/>
    </xf>
    <xf numFmtId="0" fontId="71" fillId="6" borderId="61" xfId="0" applyFont="1" applyFill="1" applyBorder="1" applyAlignment="1">
      <alignment vertical="center" wrapText="1"/>
    </xf>
    <xf numFmtId="0" fontId="71" fillId="6" borderId="59" xfId="0" applyFont="1" applyFill="1" applyBorder="1" applyAlignment="1">
      <alignment vertical="center" shrinkToFit="1"/>
    </xf>
    <xf numFmtId="0" fontId="71" fillId="6" borderId="63" xfId="0" applyFont="1" applyFill="1" applyBorder="1" applyAlignment="1">
      <alignment vertical="center" shrinkToFit="1"/>
    </xf>
    <xf numFmtId="0" fontId="71" fillId="6" borderId="61" xfId="0" applyFont="1" applyFill="1" applyBorder="1" applyAlignment="1">
      <alignment vertical="center" shrinkToFit="1"/>
    </xf>
    <xf numFmtId="0" fontId="71" fillId="6" borderId="31" xfId="0" applyFont="1" applyFill="1" applyBorder="1" applyAlignment="1">
      <alignment vertical="center" shrinkToFit="1"/>
    </xf>
    <xf numFmtId="0" fontId="71" fillId="6" borderId="32" xfId="0" applyFont="1" applyFill="1" applyBorder="1" applyAlignment="1">
      <alignment vertical="center" shrinkToFit="1"/>
    </xf>
    <xf numFmtId="0" fontId="71" fillId="6" borderId="33" xfId="0" applyFont="1" applyFill="1" applyBorder="1" applyAlignment="1">
      <alignment vertical="center" shrinkToFit="1"/>
    </xf>
    <xf numFmtId="0" fontId="20" fillId="6" borderId="0" xfId="0" applyFont="1" applyFill="1">
      <alignment vertical="center"/>
    </xf>
    <xf numFmtId="0" fontId="42" fillId="0" borderId="0" xfId="0" applyFont="1" applyProtection="1">
      <alignment vertical="center"/>
      <protection locked="0"/>
    </xf>
    <xf numFmtId="0" fontId="27" fillId="0" borderId="0" xfId="0" applyFont="1" applyAlignment="1" applyProtection="1">
      <alignment vertical="center" wrapText="1"/>
      <protection locked="0"/>
    </xf>
    <xf numFmtId="184" fontId="43" fillId="0" borderId="0" xfId="0" applyNumberFormat="1" applyFont="1" applyAlignment="1" applyProtection="1">
      <alignment horizontal="center" vertical="center" shrinkToFit="1"/>
      <protection hidden="1"/>
    </xf>
    <xf numFmtId="0" fontId="32" fillId="0" borderId="0" xfId="0" applyFont="1" applyAlignment="1" applyProtection="1">
      <alignment horizontal="center" vertical="center" shrinkToFit="1"/>
      <protection locked="0"/>
    </xf>
    <xf numFmtId="0" fontId="43" fillId="0" borderId="0" xfId="0" applyFont="1" applyAlignment="1">
      <alignment vertical="center" wrapText="1"/>
    </xf>
    <xf numFmtId="0" fontId="28" fillId="0" borderId="0" xfId="0" applyFont="1" applyAlignment="1" applyProtection="1">
      <alignment vertical="center" wrapText="1"/>
      <protection locked="0"/>
    </xf>
    <xf numFmtId="0" fontId="28" fillId="0" borderId="0" xfId="0" applyFont="1" applyAlignment="1" applyProtection="1">
      <alignment vertical="center" shrinkToFit="1"/>
      <protection locked="0"/>
    </xf>
    <xf numFmtId="0" fontId="28" fillId="0" borderId="0" xfId="0" applyFont="1" applyProtection="1">
      <alignment vertical="center"/>
      <protection locked="0"/>
    </xf>
    <xf numFmtId="49" fontId="28" fillId="0" borderId="0" xfId="0" applyNumberFormat="1" applyFont="1" applyProtection="1">
      <alignment vertical="center"/>
      <protection locked="0"/>
    </xf>
    <xf numFmtId="0" fontId="28" fillId="0" borderId="0" xfId="0" applyFont="1" applyAlignment="1" applyProtection="1">
      <alignment horizontal="left" vertical="center" wrapText="1"/>
      <protection locked="0"/>
    </xf>
    <xf numFmtId="177" fontId="28" fillId="0" borderId="0" xfId="0" applyNumberFormat="1" applyFont="1" applyAlignment="1" applyProtection="1">
      <alignment horizontal="center" vertical="center" shrinkToFit="1"/>
      <protection hidden="1"/>
    </xf>
    <xf numFmtId="0" fontId="28" fillId="0" borderId="0" xfId="0" applyFont="1" applyAlignment="1" applyProtection="1">
      <alignment vertical="center" wrapText="1"/>
      <protection hidden="1"/>
    </xf>
    <xf numFmtId="185" fontId="41" fillId="0" borderId="0" xfId="0" applyNumberFormat="1" applyFont="1" applyAlignment="1" applyProtection="1">
      <alignment horizontal="left" vertical="center"/>
      <protection hidden="1"/>
    </xf>
    <xf numFmtId="0" fontId="0" fillId="6" borderId="48" xfId="0" applyFill="1" applyBorder="1">
      <alignment vertical="center"/>
    </xf>
    <xf numFmtId="0" fontId="39" fillId="6" borderId="0" xfId="0" applyFont="1" applyFill="1">
      <alignment vertical="center"/>
    </xf>
    <xf numFmtId="0" fontId="71" fillId="6" borderId="0" xfId="0" applyFont="1" applyFill="1" applyAlignment="1"/>
    <xf numFmtId="0" fontId="17" fillId="0" borderId="0" xfId="0" applyFont="1" applyAlignment="1">
      <alignment vertical="center" wrapText="1"/>
    </xf>
    <xf numFmtId="0" fontId="18" fillId="0" borderId="0" xfId="0" applyFont="1" applyAlignment="1">
      <alignment horizontal="center" vertical="center"/>
    </xf>
    <xf numFmtId="0" fontId="18" fillId="0" borderId="0" xfId="0" applyFont="1" applyAlignment="1" applyProtection="1">
      <alignment horizontal="center" vertical="center"/>
      <protection hidden="1"/>
    </xf>
    <xf numFmtId="0" fontId="32" fillId="0" borderId="0" xfId="0" applyFont="1" applyAlignment="1" applyProtection="1">
      <alignment horizontal="center" vertical="center"/>
      <protection hidden="1"/>
    </xf>
    <xf numFmtId="0" fontId="17" fillId="0" borderId="0" xfId="0" applyFont="1" applyAlignment="1">
      <alignment horizontal="left" vertical="center" shrinkToFit="1"/>
    </xf>
    <xf numFmtId="0" fontId="0" fillId="6" borderId="0" xfId="0" applyFill="1" applyProtection="1">
      <alignment vertical="center"/>
      <protection hidden="1"/>
    </xf>
    <xf numFmtId="0" fontId="0" fillId="6" borderId="0" xfId="0" applyFill="1" applyAlignment="1">
      <alignment vertical="center" wrapText="1"/>
    </xf>
    <xf numFmtId="0" fontId="68" fillId="6" borderId="0" xfId="0" applyFont="1" applyFill="1" applyAlignment="1">
      <alignment vertical="center" wrapText="1"/>
    </xf>
    <xf numFmtId="0" fontId="68" fillId="6" borderId="0" xfId="0" applyFont="1" applyFill="1">
      <alignment vertical="center"/>
    </xf>
    <xf numFmtId="0" fontId="19" fillId="6" borderId="169" xfId="0" applyFont="1" applyFill="1" applyBorder="1" applyAlignment="1" applyProtection="1">
      <alignment horizontal="center" vertical="center"/>
      <protection hidden="1"/>
    </xf>
    <xf numFmtId="0" fontId="21" fillId="6" borderId="0" xfId="0" applyFont="1" applyFill="1" applyAlignment="1" applyProtection="1">
      <alignment horizontal="right" vertical="center"/>
      <protection hidden="1"/>
    </xf>
    <xf numFmtId="0" fontId="17" fillId="6" borderId="0" xfId="0" applyFont="1" applyFill="1" applyAlignment="1">
      <alignment vertical="center" wrapText="1"/>
    </xf>
    <xf numFmtId="0" fontId="0" fillId="6" borderId="0" xfId="0" applyFill="1" applyAlignment="1">
      <alignment vertical="center" shrinkToFit="1"/>
    </xf>
    <xf numFmtId="0" fontId="17" fillId="6" borderId="0" xfId="0" applyFont="1" applyFill="1" applyAlignment="1" applyProtection="1">
      <alignment vertical="top" wrapText="1"/>
      <protection locked="0"/>
    </xf>
    <xf numFmtId="0" fontId="35" fillId="6" borderId="0" xfId="0" applyFont="1" applyFill="1" applyAlignment="1"/>
    <xf numFmtId="0" fontId="15" fillId="6" borderId="0" xfId="0" applyFont="1" applyFill="1" applyAlignment="1">
      <alignment horizontal="left"/>
    </xf>
    <xf numFmtId="0" fontId="17" fillId="9" borderId="170" xfId="0" applyFont="1" applyFill="1" applyBorder="1" applyAlignment="1">
      <alignment vertical="top" wrapText="1"/>
    </xf>
    <xf numFmtId="0" fontId="35" fillId="6" borderId="47" xfId="0" applyFont="1" applyFill="1" applyBorder="1" applyAlignment="1">
      <alignment vertical="center" wrapText="1"/>
    </xf>
    <xf numFmtId="186" fontId="0" fillId="6" borderId="0" xfId="0" applyNumberFormat="1" applyFill="1">
      <alignment vertical="center"/>
    </xf>
    <xf numFmtId="0" fontId="27" fillId="6" borderId="0" xfId="0" applyFont="1" applyFill="1" applyAlignment="1">
      <alignment vertical="top" wrapText="1"/>
    </xf>
    <xf numFmtId="0" fontId="17" fillId="6" borderId="0" xfId="0" applyFont="1" applyFill="1">
      <alignment vertical="center"/>
    </xf>
    <xf numFmtId="188" fontId="0" fillId="6" borderId="0" xfId="0" applyNumberFormat="1" applyFill="1">
      <alignment vertical="center"/>
    </xf>
    <xf numFmtId="0" fontId="45" fillId="6" borderId="0" xfId="0" applyFont="1" applyFill="1" applyAlignment="1">
      <alignment wrapText="1"/>
    </xf>
    <xf numFmtId="0" fontId="35" fillId="6" borderId="0" xfId="0" applyFont="1" applyFill="1" applyAlignment="1">
      <alignment vertical="top" wrapText="1"/>
    </xf>
    <xf numFmtId="0" fontId="61" fillId="6" borderId="0" xfId="0" applyFont="1" applyFill="1" applyAlignment="1">
      <alignment vertical="center" wrapText="1"/>
    </xf>
    <xf numFmtId="0" fontId="45" fillId="0" borderId="58" xfId="0" applyFont="1" applyBorder="1" applyAlignment="1">
      <alignment wrapText="1"/>
    </xf>
    <xf numFmtId="0" fontId="35" fillId="0" borderId="58" xfId="0" applyFont="1" applyBorder="1" applyAlignment="1">
      <alignment vertical="top" wrapText="1"/>
    </xf>
    <xf numFmtId="0" fontId="61" fillId="0" borderId="58" xfId="0" applyFont="1" applyBorder="1" applyAlignment="1">
      <alignment vertical="center" wrapText="1"/>
    </xf>
    <xf numFmtId="0" fontId="0" fillId="0" borderId="0" xfId="0" applyAlignment="1"/>
    <xf numFmtId="0" fontId="35" fillId="0" borderId="58" xfId="0" applyFont="1" applyBorder="1" applyAlignment="1">
      <alignment vertical="center" wrapText="1"/>
    </xf>
    <xf numFmtId="0" fontId="15" fillId="0" borderId="59" xfId="0" applyFont="1" applyBorder="1" applyAlignment="1" applyProtection="1">
      <alignment horizontal="center" vertical="center"/>
      <protection locked="0"/>
    </xf>
    <xf numFmtId="176" fontId="15" fillId="0" borderId="59" xfId="0" applyNumberFormat="1" applyFont="1" applyBorder="1" applyAlignment="1" applyProtection="1">
      <alignment horizontal="center" vertical="center" shrinkToFit="1"/>
      <protection locked="0"/>
    </xf>
    <xf numFmtId="0" fontId="67" fillId="9" borderId="46" xfId="0" applyFont="1" applyFill="1" applyBorder="1" applyAlignment="1">
      <alignment horizontal="center" vertical="center"/>
    </xf>
    <xf numFmtId="0" fontId="67" fillId="9" borderId="55" xfId="0" applyFont="1" applyFill="1" applyBorder="1" applyAlignment="1">
      <alignment horizontal="center" vertical="center"/>
    </xf>
    <xf numFmtId="0" fontId="67" fillId="9" borderId="55" xfId="0" applyFont="1" applyFill="1" applyBorder="1" applyAlignment="1">
      <alignment horizontal="center" vertical="center" wrapText="1"/>
    </xf>
    <xf numFmtId="0" fontId="67" fillId="9" borderId="65" xfId="0" applyFont="1" applyFill="1" applyBorder="1" applyAlignment="1">
      <alignment horizontal="center" vertical="center" wrapText="1"/>
    </xf>
    <xf numFmtId="0" fontId="67" fillId="9" borderId="87" xfId="0" applyFont="1" applyFill="1" applyBorder="1" applyAlignment="1">
      <alignment horizontal="center" vertical="center" wrapText="1"/>
    </xf>
    <xf numFmtId="0" fontId="67" fillId="6" borderId="0" xfId="0" applyFont="1" applyFill="1">
      <alignment vertical="center"/>
    </xf>
    <xf numFmtId="0" fontId="71" fillId="6" borderId="25" xfId="0" applyFont="1" applyFill="1" applyBorder="1" applyAlignment="1">
      <alignment vertical="top" wrapText="1"/>
    </xf>
    <xf numFmtId="0" fontId="71" fillId="6" borderId="26" xfId="0" applyFont="1" applyFill="1" applyBorder="1" applyAlignment="1">
      <alignment vertical="top" wrapText="1"/>
    </xf>
    <xf numFmtId="0" fontId="71" fillId="6" borderId="61" xfId="0" applyFont="1" applyFill="1" applyBorder="1" applyAlignment="1">
      <alignment vertical="top" wrapText="1"/>
    </xf>
    <xf numFmtId="0" fontId="71" fillId="6" borderId="40" xfId="0" applyFont="1" applyFill="1" applyBorder="1" applyAlignment="1">
      <alignment vertical="top" wrapText="1"/>
    </xf>
    <xf numFmtId="0" fontId="71" fillId="6" borderId="19" xfId="0" applyFont="1" applyFill="1" applyBorder="1" applyAlignment="1">
      <alignment vertical="top" wrapText="1"/>
    </xf>
    <xf numFmtId="0" fontId="71" fillId="6" borderId="77" xfId="0" applyFont="1" applyFill="1" applyBorder="1" applyAlignment="1">
      <alignment vertical="top" wrapText="1"/>
    </xf>
    <xf numFmtId="0" fontId="27" fillId="6" borderId="0" xfId="0" applyFont="1" applyFill="1">
      <alignment vertical="center"/>
    </xf>
    <xf numFmtId="0" fontId="68" fillId="6" borderId="0" xfId="0" applyFont="1" applyFill="1" applyAlignment="1">
      <alignment vertical="top" wrapText="1"/>
    </xf>
    <xf numFmtId="0" fontId="73" fillId="0" borderId="59" xfId="0" applyFont="1" applyBorder="1" applyProtection="1">
      <alignment vertical="center"/>
      <protection locked="0"/>
    </xf>
    <xf numFmtId="0" fontId="73" fillId="0" borderId="59" xfId="0" applyFont="1" applyBorder="1" applyAlignment="1" applyProtection="1">
      <alignment vertical="center" shrinkToFit="1"/>
      <protection locked="0"/>
    </xf>
    <xf numFmtId="0" fontId="67" fillId="6" borderId="0" xfId="0" applyFont="1" applyFill="1" applyAlignment="1">
      <alignment vertical="top" wrapText="1"/>
    </xf>
    <xf numFmtId="0" fontId="17" fillId="2" borderId="96" xfId="0" applyFont="1" applyFill="1" applyBorder="1" applyAlignment="1">
      <alignment horizontal="center" vertical="center"/>
    </xf>
    <xf numFmtId="176" fontId="18" fillId="0" borderId="63" xfId="0" applyNumberFormat="1" applyFont="1" applyBorder="1" applyAlignment="1" applyProtection="1">
      <alignment horizontal="center" vertical="top" shrinkToFit="1"/>
      <protection locked="0"/>
    </xf>
    <xf numFmtId="0" fontId="27" fillId="0" borderId="8" xfId="0" applyFont="1" applyBorder="1">
      <alignment vertical="center"/>
    </xf>
    <xf numFmtId="0" fontId="11" fillId="0" borderId="0" xfId="0" applyFont="1">
      <alignment vertical="center"/>
    </xf>
    <xf numFmtId="0" fontId="47" fillId="0" borderId="0" xfId="0" applyFont="1" applyAlignment="1">
      <alignment vertical="top" wrapText="1"/>
    </xf>
    <xf numFmtId="0" fontId="17" fillId="0" borderId="8" xfId="0" applyFont="1" applyBorder="1">
      <alignment vertical="center"/>
    </xf>
    <xf numFmtId="38" fontId="17" fillId="0" borderId="10" xfId="1" applyFont="1" applyBorder="1">
      <alignment vertical="center"/>
    </xf>
    <xf numFmtId="0" fontId="17" fillId="0" borderId="31" xfId="0" applyFont="1" applyBorder="1">
      <alignment vertical="center"/>
    </xf>
    <xf numFmtId="0" fontId="24" fillId="8" borderId="172" xfId="0" applyFont="1" applyFill="1" applyBorder="1">
      <alignment vertical="center"/>
    </xf>
    <xf numFmtId="0" fontId="17" fillId="8" borderId="172" xfId="0" applyFont="1" applyFill="1" applyBorder="1">
      <alignment vertical="center"/>
    </xf>
    <xf numFmtId="190" fontId="18" fillId="0" borderId="144" xfId="1" applyNumberFormat="1" applyFont="1" applyBorder="1" applyProtection="1">
      <alignment vertical="center"/>
      <protection locked="0"/>
    </xf>
    <xf numFmtId="0" fontId="15" fillId="6" borderId="31" xfId="0" applyFont="1" applyFill="1" applyBorder="1" applyProtection="1">
      <alignment vertical="center"/>
      <protection hidden="1"/>
    </xf>
    <xf numFmtId="176" fontId="15" fillId="6" borderId="31" xfId="0" applyNumberFormat="1" applyFont="1" applyFill="1" applyBorder="1" applyProtection="1">
      <alignment vertical="center"/>
      <protection hidden="1"/>
    </xf>
    <xf numFmtId="0" fontId="15" fillId="6" borderId="175" xfId="0" applyFont="1" applyFill="1" applyBorder="1" applyProtection="1">
      <alignment vertical="center"/>
      <protection hidden="1"/>
    </xf>
    <xf numFmtId="0" fontId="17" fillId="8" borderId="147" xfId="0" applyFont="1" applyFill="1" applyBorder="1">
      <alignment vertical="center"/>
    </xf>
    <xf numFmtId="0" fontId="17" fillId="8" borderId="173" xfId="0" applyFont="1" applyFill="1" applyBorder="1">
      <alignment vertical="center"/>
    </xf>
    <xf numFmtId="0" fontId="17" fillId="8" borderId="174" xfId="0" applyFont="1" applyFill="1" applyBorder="1">
      <alignment vertical="center"/>
    </xf>
    <xf numFmtId="0" fontId="17" fillId="8" borderId="148" xfId="0" applyFont="1" applyFill="1" applyBorder="1">
      <alignment vertical="center"/>
    </xf>
    <xf numFmtId="0" fontId="18" fillId="0" borderId="25" xfId="0" applyFont="1" applyBorder="1" applyAlignment="1">
      <alignment vertical="top"/>
    </xf>
    <xf numFmtId="188" fontId="15" fillId="6" borderId="3" xfId="1" applyNumberFormat="1" applyFont="1" applyFill="1" applyBorder="1" applyAlignment="1" applyProtection="1">
      <alignment vertical="center" shrinkToFit="1"/>
      <protection hidden="1"/>
    </xf>
    <xf numFmtId="188" fontId="15" fillId="6" borderId="28" xfId="1" applyNumberFormat="1" applyFont="1" applyFill="1" applyBorder="1" applyAlignment="1" applyProtection="1">
      <alignment vertical="center" shrinkToFit="1"/>
      <protection hidden="1"/>
    </xf>
    <xf numFmtId="0" fontId="18" fillId="2" borderId="87" xfId="0" applyFont="1" applyFill="1" applyBorder="1" applyAlignment="1" applyProtection="1">
      <alignment horizontal="center" vertical="center"/>
      <protection hidden="1"/>
    </xf>
    <xf numFmtId="188" fontId="15" fillId="0" borderId="100" xfId="1" applyNumberFormat="1" applyFont="1" applyBorder="1" applyAlignment="1" applyProtection="1">
      <alignment vertical="center" shrinkToFit="1"/>
      <protection locked="0"/>
    </xf>
    <xf numFmtId="188" fontId="15" fillId="0" borderId="102" xfId="1" applyNumberFormat="1" applyFont="1" applyBorder="1" applyAlignment="1" applyProtection="1">
      <alignment vertical="center" shrinkToFit="1"/>
      <protection locked="0"/>
    </xf>
    <xf numFmtId="188" fontId="15" fillId="0" borderId="107" xfId="1" applyNumberFormat="1" applyFont="1" applyBorder="1" applyAlignment="1" applyProtection="1">
      <alignment vertical="center" shrinkToFit="1"/>
      <protection locked="0"/>
    </xf>
    <xf numFmtId="188" fontId="15" fillId="0" borderId="108" xfId="1" applyNumberFormat="1" applyFont="1" applyBorder="1" applyAlignment="1" applyProtection="1">
      <alignment vertical="center" shrinkToFit="1"/>
      <protection locked="0"/>
    </xf>
    <xf numFmtId="194" fontId="71" fillId="6" borderId="0" xfId="0" applyNumberFormat="1" applyFont="1" applyFill="1" applyAlignment="1">
      <alignment horizontal="left"/>
    </xf>
    <xf numFmtId="193" fontId="71" fillId="6" borderId="0" xfId="0" applyNumberFormat="1" applyFont="1" applyFill="1" applyAlignment="1">
      <alignment horizontal="left" vertical="center"/>
    </xf>
    <xf numFmtId="193" fontId="71" fillId="6" borderId="0" xfId="0" applyNumberFormat="1" applyFont="1" applyFill="1" applyAlignment="1">
      <alignment horizontal="left" vertical="top"/>
    </xf>
    <xf numFmtId="0" fontId="71" fillId="6" borderId="0" xfId="0" applyFont="1" applyFill="1">
      <alignment vertical="center"/>
    </xf>
    <xf numFmtId="0" fontId="71" fillId="6" borderId="0" xfId="0" applyFont="1" applyFill="1" applyAlignment="1">
      <alignment vertical="top" wrapText="1"/>
    </xf>
    <xf numFmtId="0" fontId="4" fillId="0" borderId="0" xfId="0" applyFont="1">
      <alignment vertical="center"/>
    </xf>
    <xf numFmtId="0" fontId="33" fillId="0" borderId="9" xfId="0" applyFont="1" applyBorder="1" applyAlignment="1" applyProtection="1">
      <alignment vertical="top" shrinkToFit="1"/>
      <protection hidden="1"/>
    </xf>
    <xf numFmtId="195" fontId="33" fillId="0" borderId="9" xfId="0" applyNumberFormat="1" applyFont="1" applyBorder="1" applyAlignment="1" applyProtection="1">
      <alignment horizontal="right" vertical="top" indent="1" shrinkToFit="1"/>
      <protection hidden="1"/>
    </xf>
    <xf numFmtId="0" fontId="15" fillId="6" borderId="176" xfId="0" applyFont="1" applyFill="1" applyBorder="1" applyProtection="1">
      <alignment vertical="center"/>
      <protection hidden="1"/>
    </xf>
    <xf numFmtId="0" fontId="49" fillId="6" borderId="176" xfId="0" applyFont="1" applyFill="1" applyBorder="1" applyProtection="1">
      <alignment vertical="center"/>
      <protection hidden="1"/>
    </xf>
    <xf numFmtId="176" fontId="15" fillId="6" borderId="176" xfId="0" applyNumberFormat="1" applyFont="1" applyFill="1" applyBorder="1" applyProtection="1">
      <alignment vertical="center"/>
      <protection hidden="1"/>
    </xf>
    <xf numFmtId="0" fontId="15" fillId="6" borderId="0" xfId="0" applyFont="1" applyFill="1" applyProtection="1">
      <alignment vertical="center"/>
      <protection hidden="1"/>
    </xf>
    <xf numFmtId="0" fontId="49" fillId="6" borderId="0" xfId="0" applyFont="1" applyFill="1" applyProtection="1">
      <alignment vertical="center"/>
      <protection hidden="1"/>
    </xf>
    <xf numFmtId="176" fontId="15" fillId="6" borderId="0" xfId="0" applyNumberFormat="1" applyFont="1" applyFill="1" applyProtection="1">
      <alignment vertical="center"/>
      <protection hidden="1"/>
    </xf>
    <xf numFmtId="0" fontId="18" fillId="10" borderId="59" xfId="0" applyFont="1" applyFill="1" applyBorder="1" applyAlignment="1" applyProtection="1">
      <alignment vertical="center" wrapText="1"/>
      <protection hidden="1"/>
    </xf>
    <xf numFmtId="0" fontId="49" fillId="10" borderId="59" xfId="0" applyFont="1" applyFill="1" applyBorder="1" applyProtection="1">
      <alignment vertical="center"/>
      <protection hidden="1"/>
    </xf>
    <xf numFmtId="0" fontId="18" fillId="10" borderId="59" xfId="0" applyFont="1" applyFill="1" applyBorder="1" applyAlignment="1" applyProtection="1">
      <alignment horizontal="center" vertical="center"/>
      <protection hidden="1"/>
    </xf>
    <xf numFmtId="176" fontId="18" fillId="10" borderId="59" xfId="0" applyNumberFormat="1" applyFont="1" applyFill="1" applyBorder="1" applyAlignment="1" applyProtection="1">
      <alignment horizontal="center" vertical="center" shrinkToFit="1"/>
      <protection hidden="1"/>
    </xf>
    <xf numFmtId="179" fontId="18" fillId="10" borderId="59" xfId="0" applyNumberFormat="1" applyFont="1" applyFill="1" applyBorder="1" applyAlignment="1" applyProtection="1">
      <alignment horizontal="center" vertical="center" shrinkToFit="1"/>
      <protection hidden="1"/>
    </xf>
    <xf numFmtId="177" fontId="18" fillId="10" borderId="59" xfId="0" applyNumberFormat="1" applyFont="1" applyFill="1" applyBorder="1" applyAlignment="1" applyProtection="1">
      <alignment horizontal="right" vertical="center"/>
      <protection hidden="1"/>
    </xf>
    <xf numFmtId="0" fontId="18" fillId="2" borderId="59" xfId="0" applyFont="1" applyFill="1" applyBorder="1" applyAlignment="1" applyProtection="1">
      <alignment horizontal="center" vertical="center" wrapText="1"/>
      <protection hidden="1"/>
    </xf>
    <xf numFmtId="0" fontId="18" fillId="2" borderId="59" xfId="0" applyFont="1" applyFill="1" applyBorder="1" applyAlignment="1" applyProtection="1">
      <alignment horizontal="center" vertical="center"/>
      <protection hidden="1"/>
    </xf>
    <xf numFmtId="0" fontId="15" fillId="6" borderId="0" xfId="0" applyFont="1" applyFill="1" applyAlignment="1" applyProtection="1">
      <protection hidden="1"/>
    </xf>
    <xf numFmtId="0" fontId="41" fillId="6" borderId="0" xfId="0" applyFont="1" applyFill="1" applyAlignment="1" applyProtection="1">
      <alignment vertical="center" wrapText="1"/>
      <protection hidden="1"/>
    </xf>
    <xf numFmtId="0" fontId="41" fillId="6" borderId="0" xfId="0" applyFont="1" applyFill="1" applyProtection="1">
      <alignment vertical="center"/>
      <protection hidden="1"/>
    </xf>
    <xf numFmtId="0" fontId="0" fillId="0" borderId="47" xfId="0" applyBorder="1" applyProtection="1">
      <alignment vertical="center"/>
      <protection hidden="1"/>
    </xf>
    <xf numFmtId="0" fontId="3" fillId="0" borderId="14" xfId="0" applyFont="1" applyBorder="1" applyProtection="1">
      <alignment vertical="center"/>
      <protection hidden="1"/>
    </xf>
    <xf numFmtId="0" fontId="50" fillId="0" borderId="0" xfId="0" applyFont="1" applyAlignment="1" applyProtection="1">
      <alignment horizontal="left" vertical="top" indent="29"/>
      <protection hidden="1"/>
    </xf>
    <xf numFmtId="0" fontId="18" fillId="0" borderId="59" xfId="0" applyFont="1" applyBorder="1" applyAlignment="1" applyProtection="1">
      <alignment horizontal="center" vertical="center" shrinkToFit="1"/>
      <protection locked="0"/>
    </xf>
    <xf numFmtId="0" fontId="0" fillId="0" borderId="59" xfId="0" applyBorder="1">
      <alignment vertical="center"/>
    </xf>
    <xf numFmtId="0" fontId="18" fillId="10" borderId="59" xfId="0" applyFont="1" applyFill="1" applyBorder="1" applyAlignment="1" applyProtection="1">
      <alignment horizontal="center" vertical="center" shrinkToFit="1"/>
      <protection hidden="1"/>
    </xf>
    <xf numFmtId="0" fontId="0" fillId="0" borderId="59" xfId="0" applyBorder="1" applyProtection="1">
      <alignment vertical="center"/>
      <protection hidden="1"/>
    </xf>
    <xf numFmtId="0" fontId="15" fillId="0" borderId="59" xfId="0" applyFont="1" applyBorder="1" applyProtection="1">
      <alignment vertical="center"/>
      <protection locked="0"/>
    </xf>
    <xf numFmtId="0" fontId="18" fillId="10" borderId="59" xfId="0" applyFont="1" applyFill="1" applyBorder="1" applyAlignment="1">
      <alignment horizontal="center" vertical="center"/>
    </xf>
    <xf numFmtId="0" fontId="17" fillId="8" borderId="59" xfId="0" applyFont="1" applyFill="1" applyBorder="1">
      <alignment vertical="center"/>
    </xf>
    <xf numFmtId="0" fontId="11" fillId="8" borderId="178" xfId="0" applyFont="1" applyFill="1" applyBorder="1">
      <alignment vertical="center"/>
    </xf>
    <xf numFmtId="0" fontId="53" fillId="0" borderId="0" xfId="0" applyFont="1" applyAlignment="1" applyProtection="1">
      <alignment horizontal="right" vertical="center"/>
      <protection locked="0" hidden="1"/>
    </xf>
    <xf numFmtId="0" fontId="55" fillId="0" borderId="0" xfId="0" applyFont="1" applyAlignment="1">
      <alignment vertical="center" wrapText="1"/>
    </xf>
    <xf numFmtId="0" fontId="0" fillId="9" borderId="48" xfId="0" applyFill="1" applyBorder="1" applyProtection="1">
      <alignment vertical="center"/>
      <protection locked="0"/>
    </xf>
    <xf numFmtId="0" fontId="18" fillId="9" borderId="59" xfId="0" applyFont="1" applyFill="1" applyBorder="1" applyAlignment="1">
      <alignment horizontal="center" vertical="center" wrapText="1"/>
    </xf>
    <xf numFmtId="0" fontId="18" fillId="9" borderId="31" xfId="0" applyFont="1" applyFill="1" applyBorder="1" applyAlignment="1">
      <alignment horizontal="center" vertical="center" wrapText="1"/>
    </xf>
    <xf numFmtId="0" fontId="18" fillId="9" borderId="32" xfId="0" applyFont="1" applyFill="1" applyBorder="1" applyAlignment="1">
      <alignment horizontal="center" vertical="center"/>
    </xf>
    <xf numFmtId="0" fontId="18" fillId="9" borderId="59" xfId="0" applyFont="1" applyFill="1" applyBorder="1" applyAlignment="1">
      <alignment horizontal="center" vertical="center"/>
    </xf>
    <xf numFmtId="0" fontId="18" fillId="9" borderId="33" xfId="0" applyFont="1" applyFill="1" applyBorder="1" applyAlignment="1">
      <alignment horizontal="center" vertical="center" wrapText="1"/>
    </xf>
    <xf numFmtId="0" fontId="17" fillId="9" borderId="31" xfId="0" applyFont="1" applyFill="1" applyBorder="1" applyProtection="1">
      <alignment vertical="center"/>
      <protection locked="0"/>
    </xf>
    <xf numFmtId="0" fontId="17" fillId="9" borderId="33" xfId="0" applyFont="1" applyFill="1" applyBorder="1">
      <alignment vertical="center"/>
    </xf>
    <xf numFmtId="0" fontId="44" fillId="6" borderId="0" xfId="0" applyFont="1" applyFill="1">
      <alignment vertical="center"/>
    </xf>
    <xf numFmtId="0" fontId="39" fillId="6" borderId="0" xfId="0" applyFont="1" applyFill="1" applyProtection="1">
      <alignment vertical="center"/>
      <protection hidden="1"/>
    </xf>
    <xf numFmtId="0" fontId="39" fillId="6" borderId="0" xfId="0" applyFont="1" applyFill="1" applyAlignment="1" applyProtection="1">
      <alignment vertical="center" shrinkToFit="1"/>
      <protection hidden="1"/>
    </xf>
    <xf numFmtId="0" fontId="34" fillId="6" borderId="0" xfId="0" applyFont="1" applyFill="1" applyAlignment="1" applyProtection="1">
      <alignment vertical="top"/>
      <protection hidden="1"/>
    </xf>
    <xf numFmtId="196" fontId="15" fillId="6" borderId="0" xfId="0" applyNumberFormat="1" applyFont="1" applyFill="1" applyAlignment="1" applyProtection="1">
      <alignment horizontal="left" vertical="center" indent="1"/>
      <protection hidden="1"/>
    </xf>
    <xf numFmtId="0" fontId="15" fillId="6" borderId="0" xfId="0" applyFont="1" applyFill="1">
      <alignment vertical="center"/>
    </xf>
    <xf numFmtId="0" fontId="41" fillId="6" borderId="0" xfId="0" applyFont="1" applyFill="1" applyAlignment="1">
      <alignment vertical="center" wrapText="1"/>
    </xf>
    <xf numFmtId="0" fontId="41" fillId="6" borderId="0" xfId="0" applyFont="1" applyFill="1">
      <alignment vertical="center"/>
    </xf>
    <xf numFmtId="0" fontId="45" fillId="6" borderId="0" xfId="0" applyFont="1" applyFill="1" applyProtection="1">
      <alignment vertical="center"/>
      <protection hidden="1"/>
    </xf>
    <xf numFmtId="0" fontId="55" fillId="6" borderId="0" xfId="0" applyFont="1" applyFill="1">
      <alignment vertical="center"/>
    </xf>
    <xf numFmtId="0" fontId="41" fillId="6" borderId="177" xfId="0" applyFont="1" applyFill="1" applyBorder="1" applyAlignment="1">
      <alignment horizontal="center" vertical="center" wrapText="1"/>
    </xf>
    <xf numFmtId="0" fontId="41" fillId="6" borderId="177" xfId="0" applyFont="1" applyFill="1" applyBorder="1" applyAlignment="1">
      <alignment horizontal="center" vertical="center"/>
    </xf>
    <xf numFmtId="14" fontId="41" fillId="6" borderId="177" xfId="0" applyNumberFormat="1" applyFont="1" applyFill="1" applyBorder="1" applyAlignment="1">
      <alignment horizontal="center" vertical="center"/>
    </xf>
    <xf numFmtId="14" fontId="41" fillId="6" borderId="177" xfId="0" applyNumberFormat="1" applyFont="1" applyFill="1" applyBorder="1" applyAlignment="1">
      <alignment vertical="center" wrapText="1"/>
    </xf>
    <xf numFmtId="0" fontId="41" fillId="6" borderId="177" xfId="0" applyFont="1" applyFill="1" applyBorder="1" applyAlignment="1">
      <alignment vertical="center" wrapText="1"/>
    </xf>
    <xf numFmtId="0" fontId="74" fillId="6" borderId="0" xfId="0" applyFont="1" applyFill="1" applyProtection="1">
      <alignment vertical="center"/>
      <protection hidden="1"/>
    </xf>
    <xf numFmtId="176" fontId="55" fillId="6" borderId="187" xfId="0" applyNumberFormat="1" applyFont="1" applyFill="1" applyBorder="1" applyAlignment="1">
      <alignment horizontal="right" vertical="center"/>
    </xf>
    <xf numFmtId="176" fontId="55" fillId="6" borderId="188" xfId="0" applyNumberFormat="1" applyFont="1" applyFill="1" applyBorder="1" applyAlignment="1">
      <alignment horizontal="center" vertical="center"/>
    </xf>
    <xf numFmtId="0" fontId="15" fillId="0" borderId="59" xfId="0" applyFont="1" applyBorder="1" applyAlignment="1" applyProtection="1">
      <alignment horizontal="right" vertical="center"/>
      <protection hidden="1"/>
    </xf>
    <xf numFmtId="0" fontId="65" fillId="0" borderId="59" xfId="0" applyFont="1" applyBorder="1" applyAlignment="1" applyProtection="1">
      <alignment horizontal="right" vertical="center"/>
      <protection hidden="1"/>
    </xf>
    <xf numFmtId="188" fontId="15" fillId="6" borderId="1" xfId="0" applyNumberFormat="1" applyFont="1" applyFill="1" applyBorder="1" applyAlignment="1">
      <alignment vertical="center" shrinkToFit="1"/>
    </xf>
    <xf numFmtId="0" fontId="28" fillId="9" borderId="8" xfId="0" applyFont="1" applyFill="1" applyBorder="1" applyAlignment="1">
      <alignment vertical="center" textRotation="255" shrinkToFit="1"/>
    </xf>
    <xf numFmtId="0" fontId="18" fillId="9" borderId="26" xfId="0" applyFont="1" applyFill="1" applyBorder="1" applyAlignment="1">
      <alignment horizontal="center" vertical="center"/>
    </xf>
    <xf numFmtId="0" fontId="18" fillId="9" borderId="61" xfId="0" applyFont="1" applyFill="1" applyBorder="1" applyAlignment="1">
      <alignment horizontal="center" vertical="center"/>
    </xf>
    <xf numFmtId="0" fontId="18" fillId="6" borderId="43" xfId="0" applyFont="1" applyFill="1" applyBorder="1" applyAlignment="1">
      <alignment horizontal="left" vertical="center"/>
    </xf>
    <xf numFmtId="0" fontId="18" fillId="6" borderId="4" xfId="0" applyFont="1" applyFill="1" applyBorder="1" applyAlignment="1">
      <alignment horizontal="left" vertical="center"/>
    </xf>
    <xf numFmtId="0" fontId="18" fillId="6" borderId="3" xfId="0" applyFont="1" applyFill="1" applyBorder="1" applyAlignment="1">
      <alignment horizontal="left" vertical="center"/>
    </xf>
    <xf numFmtId="0" fontId="0" fillId="6" borderId="43" xfId="0" applyFill="1" applyBorder="1">
      <alignment vertical="center"/>
    </xf>
    <xf numFmtId="0" fontId="0" fillId="6" borderId="4" xfId="0" applyFill="1" applyBorder="1">
      <alignment vertical="center"/>
    </xf>
    <xf numFmtId="0" fontId="0" fillId="6" borderId="67" xfId="0" applyFill="1" applyBorder="1">
      <alignment vertical="center"/>
    </xf>
    <xf numFmtId="0" fontId="0" fillId="6" borderId="68" xfId="0" applyFill="1" applyBorder="1">
      <alignment vertical="center"/>
    </xf>
    <xf numFmtId="0" fontId="0" fillId="6" borderId="1" xfId="0" applyFill="1" applyBorder="1">
      <alignment vertical="center"/>
    </xf>
    <xf numFmtId="0" fontId="0" fillId="6" borderId="42" xfId="0" applyFill="1" applyBorder="1">
      <alignment vertical="center"/>
    </xf>
    <xf numFmtId="0" fontId="0" fillId="6" borderId="23" xfId="0" applyFill="1" applyBorder="1">
      <alignment vertical="center"/>
    </xf>
    <xf numFmtId="0" fontId="0" fillId="6" borderId="28" xfId="0" applyFill="1" applyBorder="1">
      <alignment vertical="center"/>
    </xf>
    <xf numFmtId="0" fontId="0" fillId="6" borderId="22" xfId="0" applyFill="1" applyBorder="1">
      <alignment vertical="center"/>
    </xf>
    <xf numFmtId="0" fontId="0" fillId="6" borderId="21" xfId="0" applyFill="1" applyBorder="1">
      <alignment vertical="center"/>
    </xf>
    <xf numFmtId="0" fontId="0" fillId="6" borderId="38" xfId="0" applyFill="1" applyBorder="1">
      <alignment vertical="center"/>
    </xf>
    <xf numFmtId="0" fontId="0" fillId="6" borderId="39" xfId="0" applyFill="1" applyBorder="1">
      <alignment vertical="center"/>
    </xf>
    <xf numFmtId="0" fontId="70" fillId="6" borderId="0" xfId="0" applyFont="1" applyFill="1" applyAlignment="1">
      <alignment horizontal="left" vertical="center"/>
    </xf>
    <xf numFmtId="0" fontId="17" fillId="6" borderId="0" xfId="0" applyFont="1" applyFill="1" applyAlignment="1" applyProtection="1">
      <alignment horizontal="center" vertical="center"/>
      <protection hidden="1"/>
    </xf>
    <xf numFmtId="192" fontId="68" fillId="6" borderId="8" xfId="0" applyNumberFormat="1" applyFont="1" applyFill="1" applyBorder="1" applyAlignment="1">
      <alignment horizontal="center" vertical="center" wrapText="1"/>
    </xf>
    <xf numFmtId="192" fontId="68" fillId="6" borderId="10" xfId="0" applyNumberFormat="1" applyFont="1" applyFill="1" applyBorder="1" applyAlignment="1">
      <alignment horizontal="center" vertical="center" wrapText="1"/>
    </xf>
    <xf numFmtId="0" fontId="0" fillId="6" borderId="0" xfId="0" applyFill="1" applyAlignment="1">
      <alignment horizontal="center" vertical="center"/>
    </xf>
    <xf numFmtId="49" fontId="28" fillId="0" borderId="22" xfId="0" applyNumberFormat="1" applyFont="1" applyBorder="1" applyProtection="1">
      <alignment vertical="center"/>
      <protection locked="0"/>
    </xf>
    <xf numFmtId="49" fontId="28" fillId="0" borderId="23" xfId="0" applyNumberFormat="1" applyFont="1" applyBorder="1" applyProtection="1">
      <alignment vertical="center"/>
      <protection locked="0"/>
    </xf>
    <xf numFmtId="49" fontId="28" fillId="0" borderId="24" xfId="0" applyNumberFormat="1" applyFont="1" applyBorder="1" applyProtection="1">
      <alignment vertical="center"/>
      <protection locked="0"/>
    </xf>
    <xf numFmtId="0" fontId="28" fillId="0" borderId="2" xfId="0" applyFont="1" applyBorder="1" applyProtection="1">
      <alignment vertical="center"/>
      <protection locked="0"/>
    </xf>
    <xf numFmtId="0" fontId="28" fillId="0" borderId="4" xfId="0" applyFont="1" applyBorder="1" applyProtection="1">
      <alignment vertical="center"/>
      <protection locked="0"/>
    </xf>
    <xf numFmtId="0" fontId="28" fillId="0" borderId="21" xfId="0" applyFont="1" applyBorder="1" applyProtection="1">
      <alignment vertical="center"/>
      <protection locked="0"/>
    </xf>
    <xf numFmtId="0" fontId="28" fillId="0" borderId="6" xfId="0" applyFont="1" applyBorder="1" applyProtection="1">
      <alignment vertical="center"/>
      <protection locked="0"/>
    </xf>
    <xf numFmtId="0" fontId="28" fillId="0" borderId="14" xfId="0" applyFont="1" applyBorder="1" applyProtection="1">
      <alignment vertical="center"/>
      <protection locked="0"/>
    </xf>
    <xf numFmtId="0" fontId="28" fillId="0" borderId="45" xfId="0" applyFont="1" applyBorder="1" applyProtection="1">
      <alignment vertical="center"/>
      <protection locked="0"/>
    </xf>
    <xf numFmtId="49" fontId="28" fillId="0" borderId="2" xfId="0" applyNumberFormat="1" applyFont="1" applyBorder="1" applyProtection="1">
      <alignment vertical="center"/>
      <protection locked="0"/>
    </xf>
    <xf numFmtId="49" fontId="28" fillId="0" borderId="4" xfId="0" applyNumberFormat="1" applyFont="1" applyBorder="1" applyProtection="1">
      <alignment vertical="center"/>
      <protection locked="0"/>
    </xf>
    <xf numFmtId="49" fontId="28" fillId="0" borderId="21" xfId="0" applyNumberFormat="1" applyFont="1" applyBorder="1" applyProtection="1">
      <alignment vertical="center"/>
      <protection locked="0"/>
    </xf>
    <xf numFmtId="177" fontId="28" fillId="0" borderId="22" xfId="0" applyNumberFormat="1" applyFont="1" applyBorder="1" applyAlignment="1" applyProtection="1">
      <alignment horizontal="left" vertical="center" shrinkToFit="1"/>
      <protection locked="0"/>
    </xf>
    <xf numFmtId="177" fontId="28" fillId="0" borderId="23" xfId="0" applyNumberFormat="1" applyFont="1" applyBorder="1" applyAlignment="1" applyProtection="1">
      <alignment horizontal="left" vertical="center" shrinkToFit="1"/>
      <protection locked="0"/>
    </xf>
    <xf numFmtId="177" fontId="28" fillId="0" borderId="23" xfId="0" applyNumberFormat="1" applyFont="1" applyBorder="1" applyAlignment="1" applyProtection="1">
      <alignment horizontal="center" vertical="center" shrinkToFit="1"/>
      <protection hidden="1"/>
    </xf>
    <xf numFmtId="177" fontId="28" fillId="0" borderId="24" xfId="0" applyNumberFormat="1" applyFont="1" applyBorder="1" applyAlignment="1" applyProtection="1">
      <alignment horizontal="center" vertical="center" shrinkToFit="1"/>
      <protection hidden="1"/>
    </xf>
    <xf numFmtId="0" fontId="28" fillId="0" borderId="23" xfId="0" applyFont="1" applyBorder="1" applyAlignment="1" applyProtection="1">
      <alignment vertical="center" wrapText="1"/>
      <protection locked="0"/>
    </xf>
    <xf numFmtId="0" fontId="28" fillId="0" borderId="24" xfId="0" applyFont="1" applyBorder="1" applyAlignment="1" applyProtection="1">
      <alignment vertical="center" wrapText="1"/>
      <protection locked="0"/>
    </xf>
    <xf numFmtId="0" fontId="17" fillId="3" borderId="73" xfId="0" applyFont="1" applyFill="1" applyBorder="1" applyAlignment="1">
      <alignment vertical="center" wrapText="1"/>
    </xf>
    <xf numFmtId="0" fontId="17" fillId="3" borderId="40" xfId="0" applyFont="1" applyFill="1" applyBorder="1" applyAlignment="1">
      <alignment vertical="center" wrapText="1"/>
    </xf>
    <xf numFmtId="0" fontId="28" fillId="0" borderId="69" xfId="0" applyFont="1" applyBorder="1" applyAlignment="1" applyProtection="1">
      <alignment vertical="center" wrapText="1"/>
      <protection locked="0"/>
    </xf>
    <xf numFmtId="0" fontId="28" fillId="0" borderId="70" xfId="0" applyFont="1" applyBorder="1" applyAlignment="1" applyProtection="1">
      <alignment vertical="center" wrapText="1"/>
      <protection locked="0"/>
    </xf>
    <xf numFmtId="0" fontId="28" fillId="0" borderId="71" xfId="0" applyFont="1" applyBorder="1" applyAlignment="1" applyProtection="1">
      <alignment vertical="center" wrapText="1"/>
      <protection locked="0"/>
    </xf>
    <xf numFmtId="0" fontId="17" fillId="3" borderId="64" xfId="0" applyFont="1" applyFill="1" applyBorder="1" applyAlignment="1">
      <alignment vertical="center" wrapText="1"/>
    </xf>
    <xf numFmtId="0" fontId="13" fillId="3" borderId="64" xfId="0" applyFont="1" applyFill="1" applyBorder="1" applyAlignment="1">
      <alignment vertical="center" wrapText="1"/>
    </xf>
    <xf numFmtId="0" fontId="13" fillId="3" borderId="40" xfId="0" applyFont="1" applyFill="1" applyBorder="1" applyAlignment="1">
      <alignment vertical="center" wrapText="1"/>
    </xf>
    <xf numFmtId="0" fontId="17" fillId="3" borderId="46" xfId="0" applyFont="1" applyFill="1" applyBorder="1" applyAlignment="1">
      <alignment vertical="center" wrapText="1"/>
    </xf>
    <xf numFmtId="0" fontId="16" fillId="3" borderId="64" xfId="0" applyFont="1" applyFill="1" applyBorder="1">
      <alignment vertical="center"/>
    </xf>
    <xf numFmtId="0" fontId="16" fillId="3" borderId="40" xfId="0" applyFont="1" applyFill="1" applyBorder="1">
      <alignment vertical="center"/>
    </xf>
    <xf numFmtId="0" fontId="28" fillId="0" borderId="11" xfId="0" applyFont="1" applyBorder="1" applyProtection="1">
      <alignment vertical="center"/>
      <protection locked="0"/>
    </xf>
    <xf numFmtId="0" fontId="28" fillId="0" borderId="13" xfId="0" applyFont="1" applyBorder="1" applyProtection="1">
      <alignment vertical="center"/>
      <protection locked="0"/>
    </xf>
    <xf numFmtId="0" fontId="28" fillId="0" borderId="16" xfId="0" applyFont="1" applyBorder="1" applyProtection="1">
      <alignment vertical="center"/>
      <protection locked="0"/>
    </xf>
    <xf numFmtId="0" fontId="28" fillId="0" borderId="2" xfId="0" applyFont="1" applyBorder="1" applyAlignment="1" applyProtection="1">
      <alignment horizontal="left" vertical="center" wrapText="1"/>
      <protection locked="0"/>
    </xf>
    <xf numFmtId="0" fontId="28" fillId="0" borderId="4" xfId="0" applyFont="1" applyBorder="1" applyAlignment="1" applyProtection="1">
      <alignment horizontal="left" vertical="center" wrapText="1"/>
      <protection locked="0"/>
    </xf>
    <xf numFmtId="0" fontId="28" fillId="0" borderId="21" xfId="0" applyFont="1" applyBorder="1" applyAlignment="1" applyProtection="1">
      <alignment horizontal="left" vertical="center" wrapText="1"/>
      <protection locked="0"/>
    </xf>
    <xf numFmtId="0" fontId="28" fillId="0" borderId="2" xfId="0" applyFont="1" applyBorder="1" applyAlignment="1" applyProtection="1">
      <alignment vertical="center" wrapText="1"/>
      <protection locked="0"/>
    </xf>
    <xf numFmtId="0" fontId="28" fillId="0" borderId="4" xfId="0" applyFont="1" applyBorder="1" applyAlignment="1" applyProtection="1">
      <alignment vertical="center" wrapText="1"/>
      <protection locked="0"/>
    </xf>
    <xf numFmtId="0" fontId="28" fillId="0" borderId="21" xfId="0" applyFont="1" applyBorder="1" applyAlignment="1" applyProtection="1">
      <alignment vertical="center" wrapText="1"/>
      <protection locked="0"/>
    </xf>
    <xf numFmtId="0" fontId="66" fillId="6" borderId="0" xfId="0" applyFont="1" applyFill="1" applyAlignment="1">
      <alignment horizontal="left" vertical="center"/>
    </xf>
    <xf numFmtId="0" fontId="34" fillId="6" borderId="0" xfId="0" applyFont="1" applyFill="1" applyAlignment="1">
      <alignment horizontal="left" vertical="center" wrapText="1"/>
    </xf>
    <xf numFmtId="185" fontId="41" fillId="0" borderId="22" xfId="0" applyNumberFormat="1" applyFont="1" applyBorder="1" applyAlignment="1" applyProtection="1">
      <alignment horizontal="left" vertical="center"/>
      <protection hidden="1"/>
    </xf>
    <xf numFmtId="185" fontId="41" fillId="0" borderId="23" xfId="0" applyNumberFormat="1" applyFont="1" applyBorder="1" applyAlignment="1" applyProtection="1">
      <alignment horizontal="left" vertical="center"/>
      <protection hidden="1"/>
    </xf>
    <xf numFmtId="185" fontId="41" fillId="0" borderId="24" xfId="0" applyNumberFormat="1" applyFont="1" applyBorder="1" applyAlignment="1" applyProtection="1">
      <alignment horizontal="left" vertical="center"/>
      <protection hidden="1"/>
    </xf>
    <xf numFmtId="0" fontId="72" fillId="6" borderId="47" xfId="0" applyFont="1" applyFill="1" applyBorder="1" applyAlignment="1">
      <alignment horizontal="right" vertical="center" shrinkToFit="1"/>
    </xf>
    <xf numFmtId="0" fontId="32" fillId="6" borderId="0" xfId="0" applyFont="1" applyFill="1" applyAlignment="1">
      <alignment horizontal="left" wrapText="1"/>
    </xf>
    <xf numFmtId="0" fontId="71" fillId="6" borderId="38" xfId="0" applyFont="1" applyFill="1" applyBorder="1">
      <alignment vertical="center"/>
    </xf>
    <xf numFmtId="0" fontId="71" fillId="6" borderId="39" xfId="0" applyFont="1" applyFill="1" applyBorder="1">
      <alignment vertical="center"/>
    </xf>
    <xf numFmtId="0" fontId="71" fillId="6" borderId="8" xfId="0" applyFont="1" applyFill="1" applyBorder="1">
      <alignment vertical="center"/>
    </xf>
    <xf numFmtId="0" fontId="71" fillId="6" borderId="10" xfId="0" applyFont="1" applyFill="1" applyBorder="1">
      <alignment vertical="center"/>
    </xf>
    <xf numFmtId="0" fontId="72" fillId="6" borderId="0" xfId="0" applyFont="1" applyFill="1" applyAlignment="1">
      <alignment horizontal="right" vertical="center" shrinkToFit="1"/>
    </xf>
    <xf numFmtId="0" fontId="20" fillId="2" borderId="8" xfId="0" applyFont="1" applyFill="1" applyBorder="1">
      <alignment vertical="center"/>
    </xf>
    <xf numFmtId="0" fontId="20" fillId="2" borderId="9" xfId="0" applyFont="1" applyFill="1" applyBorder="1">
      <alignment vertical="center"/>
    </xf>
    <xf numFmtId="0" fontId="20" fillId="2" borderId="10" xfId="0" applyFont="1" applyFill="1" applyBorder="1">
      <alignment vertical="center"/>
    </xf>
    <xf numFmtId="0" fontId="27" fillId="3" borderId="8" xfId="0" applyFont="1" applyFill="1" applyBorder="1" applyAlignment="1">
      <alignment vertical="center" shrinkToFit="1"/>
    </xf>
    <xf numFmtId="0" fontId="27" fillId="3" borderId="63" xfId="0" applyFont="1" applyFill="1" applyBorder="1" applyAlignment="1">
      <alignment vertical="center" shrinkToFit="1"/>
    </xf>
    <xf numFmtId="0" fontId="42" fillId="0" borderId="11" xfId="0" applyFont="1" applyBorder="1" applyProtection="1">
      <alignment vertical="center"/>
      <protection locked="0"/>
    </xf>
    <xf numFmtId="0" fontId="42" fillId="0" borderId="13" xfId="0" applyFont="1" applyBorder="1" applyProtection="1">
      <alignment vertical="center"/>
      <protection locked="0"/>
    </xf>
    <xf numFmtId="0" fontId="42" fillId="0" borderId="16" xfId="0" applyFont="1" applyBorder="1" applyProtection="1">
      <alignment vertical="center"/>
      <protection locked="0"/>
    </xf>
    <xf numFmtId="0" fontId="28" fillId="0" borderId="11" xfId="0" applyFont="1" applyBorder="1" applyAlignment="1" applyProtection="1">
      <alignment vertical="center" wrapText="1"/>
      <protection hidden="1"/>
    </xf>
    <xf numFmtId="0" fontId="28" fillId="0" borderId="13" xfId="0" applyFont="1" applyBorder="1" applyAlignment="1" applyProtection="1">
      <alignment vertical="center" wrapText="1"/>
      <protection hidden="1"/>
    </xf>
    <xf numFmtId="0" fontId="28" fillId="0" borderId="16" xfId="0" applyFont="1" applyBorder="1" applyAlignment="1" applyProtection="1">
      <alignment vertical="center" wrapText="1"/>
      <protection hidden="1"/>
    </xf>
    <xf numFmtId="0" fontId="46" fillId="0" borderId="29" xfId="0" applyFont="1" applyBorder="1" applyAlignment="1" applyProtection="1">
      <alignment horizontal="center" vertical="center"/>
      <protection hidden="1"/>
    </xf>
    <xf numFmtId="0" fontId="16" fillId="3" borderId="64" xfId="0" applyFont="1" applyFill="1" applyBorder="1" applyAlignment="1">
      <alignment vertical="center" wrapText="1"/>
    </xf>
    <xf numFmtId="0" fontId="16" fillId="3" borderId="40" xfId="0" applyFont="1" applyFill="1" applyBorder="1" applyAlignment="1">
      <alignment vertical="center" wrapText="1"/>
    </xf>
    <xf numFmtId="0" fontId="27" fillId="3" borderId="8" xfId="0" applyFont="1" applyFill="1" applyBorder="1" applyAlignment="1">
      <alignment horizontal="left" vertical="center" shrinkToFit="1"/>
    </xf>
    <xf numFmtId="0" fontId="27" fillId="3" borderId="63" xfId="0" applyFont="1" applyFill="1" applyBorder="1" applyAlignment="1">
      <alignment horizontal="left" vertical="center" shrinkToFit="1"/>
    </xf>
    <xf numFmtId="0" fontId="28" fillId="0" borderId="27" xfId="0" applyFont="1" applyBorder="1" applyAlignment="1" applyProtection="1">
      <alignment vertical="center" wrapText="1"/>
      <protection locked="0"/>
    </xf>
    <xf numFmtId="0" fontId="28" fillId="0" borderId="9" xfId="0" applyFont="1" applyBorder="1" applyAlignment="1" applyProtection="1">
      <alignment vertical="center" wrapText="1"/>
      <protection locked="0"/>
    </xf>
    <xf numFmtId="0" fontId="28" fillId="0" borderId="10" xfId="0" applyFont="1" applyBorder="1" applyAlignment="1" applyProtection="1">
      <alignment vertical="center" wrapText="1"/>
      <protection locked="0"/>
    </xf>
    <xf numFmtId="0" fontId="28" fillId="0" borderId="57" xfId="0" applyFont="1" applyBorder="1" applyAlignment="1" applyProtection="1">
      <alignment vertical="center" shrinkToFit="1"/>
      <protection locked="0"/>
    </xf>
    <xf numFmtId="0" fontId="28" fillId="0" borderId="29" xfId="0" applyFont="1" applyBorder="1" applyAlignment="1" applyProtection="1">
      <alignment vertical="center" shrinkToFit="1"/>
      <protection locked="0"/>
    </xf>
    <xf numFmtId="0" fontId="28" fillId="0" borderId="39" xfId="0" applyFont="1" applyBorder="1" applyAlignment="1" applyProtection="1">
      <alignment vertical="center" shrinkToFit="1"/>
      <protection locked="0"/>
    </xf>
    <xf numFmtId="176" fontId="43" fillId="0" borderId="2" xfId="0" applyNumberFormat="1" applyFont="1" applyBorder="1" applyAlignment="1" applyProtection="1">
      <alignment horizontal="center" vertical="center" shrinkToFit="1"/>
      <protection locked="0"/>
    </xf>
    <xf numFmtId="176" fontId="43" fillId="0" borderId="4" xfId="0" applyNumberFormat="1" applyFont="1" applyBorder="1" applyAlignment="1" applyProtection="1">
      <alignment horizontal="center" vertical="center" shrinkToFit="1"/>
      <protection locked="0"/>
    </xf>
    <xf numFmtId="0" fontId="27" fillId="3" borderId="43" xfId="0" applyFont="1" applyFill="1" applyBorder="1">
      <alignment vertical="center"/>
    </xf>
    <xf numFmtId="0" fontId="27" fillId="3" borderId="3" xfId="0" applyFont="1" applyFill="1" applyBorder="1">
      <alignment vertical="center"/>
    </xf>
    <xf numFmtId="0" fontId="27" fillId="3" borderId="41" xfId="0" applyFont="1" applyFill="1" applyBorder="1">
      <alignment vertical="center"/>
    </xf>
    <xf numFmtId="0" fontId="27" fillId="3" borderId="34" xfId="0" applyFont="1" applyFill="1" applyBorder="1">
      <alignment vertical="center"/>
    </xf>
    <xf numFmtId="0" fontId="27" fillId="3" borderId="43" xfId="0" applyFont="1" applyFill="1" applyBorder="1" applyAlignment="1">
      <alignment horizontal="left" vertical="center" shrinkToFit="1"/>
    </xf>
    <xf numFmtId="0" fontId="27" fillId="3" borderId="3" xfId="0" applyFont="1" applyFill="1" applyBorder="1" applyAlignment="1">
      <alignment horizontal="left" vertical="center" shrinkToFit="1"/>
    </xf>
    <xf numFmtId="0" fontId="42" fillId="0" borderId="2" xfId="0" applyFont="1" applyBorder="1" applyProtection="1">
      <alignment vertical="center"/>
      <protection locked="0"/>
    </xf>
    <xf numFmtId="0" fontId="42" fillId="0" borderId="4" xfId="0" applyFont="1" applyBorder="1" applyProtection="1">
      <alignment vertical="center"/>
      <protection locked="0"/>
    </xf>
    <xf numFmtId="0" fontId="42" fillId="0" borderId="21" xfId="0" applyFont="1" applyBorder="1" applyProtection="1">
      <alignment vertical="center"/>
      <protection locked="0"/>
    </xf>
    <xf numFmtId="0" fontId="27" fillId="0" borderId="2"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27" fillId="0" borderId="21" xfId="0" applyFont="1" applyBorder="1" applyAlignment="1" applyProtection="1">
      <alignment vertical="center" wrapText="1"/>
      <protection locked="0"/>
    </xf>
    <xf numFmtId="191" fontId="27" fillId="3" borderId="74" xfId="0" applyNumberFormat="1" applyFont="1" applyFill="1" applyBorder="1" applyAlignment="1">
      <alignment vertical="center" wrapText="1" shrinkToFit="1"/>
    </xf>
    <xf numFmtId="191" fontId="27" fillId="3" borderId="5" xfId="0" applyNumberFormat="1" applyFont="1" applyFill="1" applyBorder="1" applyAlignment="1">
      <alignment vertical="center" wrapText="1" shrinkToFit="1"/>
    </xf>
    <xf numFmtId="176" fontId="40" fillId="0" borderId="68" xfId="0" applyNumberFormat="1" applyFont="1" applyBorder="1" applyAlignment="1" applyProtection="1">
      <alignment horizontal="center" vertical="center" shrinkToFit="1"/>
      <protection locked="0"/>
    </xf>
    <xf numFmtId="176" fontId="40" fillId="0" borderId="30" xfId="0" applyNumberFormat="1" applyFont="1" applyBorder="1" applyAlignment="1" applyProtection="1">
      <alignment horizontal="center" vertical="center" shrinkToFit="1"/>
      <protection locked="0"/>
    </xf>
    <xf numFmtId="0" fontId="18" fillId="3" borderId="4" xfId="0" applyFont="1" applyFill="1" applyBorder="1" applyProtection="1">
      <alignment vertical="center"/>
      <protection hidden="1"/>
    </xf>
    <xf numFmtId="0" fontId="18" fillId="3" borderId="3" xfId="0" applyFont="1" applyFill="1" applyBorder="1" applyProtection="1">
      <alignment vertical="center"/>
      <protection hidden="1"/>
    </xf>
    <xf numFmtId="0" fontId="18" fillId="0" borderId="2" xfId="0" applyFont="1" applyBorder="1" applyAlignment="1" applyProtection="1">
      <alignment horizontal="left" vertical="center"/>
      <protection hidden="1"/>
    </xf>
    <xf numFmtId="0" fontId="18" fillId="0" borderId="4" xfId="0" applyFont="1" applyBorder="1" applyAlignment="1" applyProtection="1">
      <alignment horizontal="left" vertical="center"/>
      <protection hidden="1"/>
    </xf>
    <xf numFmtId="0" fontId="18" fillId="0" borderId="21" xfId="0" applyFont="1" applyBorder="1" applyAlignment="1" applyProtection="1">
      <alignment horizontal="left" vertical="center"/>
      <protection hidden="1"/>
    </xf>
    <xf numFmtId="0" fontId="15" fillId="3" borderId="146" xfId="0" applyFont="1" applyFill="1" applyBorder="1" applyAlignment="1" applyProtection="1">
      <alignment horizontal="left" vertical="center" wrapText="1" shrinkToFit="1"/>
      <protection hidden="1"/>
    </xf>
    <xf numFmtId="0" fontId="15" fillId="3" borderId="51" xfId="0" applyFont="1" applyFill="1" applyBorder="1" applyAlignment="1" applyProtection="1">
      <alignment horizontal="left" vertical="center" wrapText="1" shrinkToFit="1"/>
      <protection hidden="1"/>
    </xf>
    <xf numFmtId="0" fontId="15" fillId="3" borderId="13" xfId="0" applyFont="1" applyFill="1" applyBorder="1" applyProtection="1">
      <alignment vertical="center"/>
      <protection hidden="1"/>
    </xf>
    <xf numFmtId="0" fontId="15" fillId="3" borderId="34" xfId="0" applyFont="1" applyFill="1" applyBorder="1" applyProtection="1">
      <alignment vertical="center"/>
      <protection hidden="1"/>
    </xf>
    <xf numFmtId="0" fontId="15" fillId="3" borderId="4" xfId="0" applyFont="1" applyFill="1" applyBorder="1" applyAlignment="1" applyProtection="1">
      <alignment vertical="center" wrapText="1"/>
      <protection hidden="1"/>
    </xf>
    <xf numFmtId="0" fontId="15" fillId="3" borderId="3" xfId="0" applyFont="1" applyFill="1" applyBorder="1" applyProtection="1">
      <alignment vertical="center"/>
      <protection hidden="1"/>
    </xf>
    <xf numFmtId="0" fontId="18" fillId="0" borderId="2" xfId="0" applyFont="1" applyBorder="1" applyAlignment="1" applyProtection="1">
      <alignment horizontal="left" vertical="top" wrapText="1"/>
      <protection hidden="1"/>
    </xf>
    <xf numFmtId="0" fontId="18" fillId="0" borderId="4" xfId="0" applyFont="1" applyBorder="1" applyAlignment="1" applyProtection="1">
      <alignment horizontal="left" vertical="top" wrapText="1"/>
      <protection hidden="1"/>
    </xf>
    <xf numFmtId="0" fontId="18" fillId="0" borderId="21" xfId="0" applyFont="1" applyBorder="1" applyAlignment="1" applyProtection="1">
      <alignment horizontal="left" vertical="top" wrapText="1"/>
      <protection hidden="1"/>
    </xf>
    <xf numFmtId="0" fontId="18" fillId="0" borderId="2" xfId="0" applyFont="1" applyBorder="1" applyAlignment="1" applyProtection="1">
      <alignment horizontal="left" vertical="center" wrapText="1"/>
      <protection hidden="1"/>
    </xf>
    <xf numFmtId="0" fontId="18" fillId="0" borderId="4" xfId="0" applyFont="1" applyBorder="1" applyAlignment="1" applyProtection="1">
      <alignment horizontal="left" vertical="center" wrapText="1"/>
      <protection hidden="1"/>
    </xf>
    <xf numFmtId="0" fontId="18" fillId="0" borderId="21" xfId="0" applyFont="1" applyBorder="1" applyAlignment="1" applyProtection="1">
      <alignment horizontal="left" vertical="center" wrapText="1"/>
      <protection hidden="1"/>
    </xf>
    <xf numFmtId="0" fontId="18" fillId="3" borderId="23" xfId="0" applyFont="1" applyFill="1" applyBorder="1" applyProtection="1">
      <alignment vertical="center"/>
      <protection hidden="1"/>
    </xf>
    <xf numFmtId="0" fontId="18" fillId="3" borderId="28" xfId="0" applyFont="1" applyFill="1" applyBorder="1" applyProtection="1">
      <alignment vertical="center"/>
      <protection hidden="1"/>
    </xf>
    <xf numFmtId="0" fontId="18" fillId="0" borderId="22" xfId="0" applyFont="1" applyBorder="1" applyAlignment="1" applyProtection="1">
      <alignment horizontal="left" vertical="center"/>
      <protection hidden="1"/>
    </xf>
    <xf numFmtId="0" fontId="18" fillId="0" borderId="23" xfId="0" applyFont="1" applyBorder="1" applyAlignment="1" applyProtection="1">
      <alignment horizontal="left" vertical="center"/>
      <protection hidden="1"/>
    </xf>
    <xf numFmtId="0" fontId="18" fillId="0" borderId="24" xfId="0" applyFont="1" applyBorder="1" applyAlignment="1" applyProtection="1">
      <alignment horizontal="left" vertical="center"/>
      <protection hidden="1"/>
    </xf>
    <xf numFmtId="0" fontId="0" fillId="4" borderId="9" xfId="0" applyFill="1" applyBorder="1" applyAlignment="1" applyProtection="1">
      <alignment horizontal="left" vertical="center"/>
      <protection hidden="1"/>
    </xf>
    <xf numFmtId="0" fontId="0" fillId="4" borderId="10" xfId="0" applyFill="1" applyBorder="1" applyAlignment="1" applyProtection="1">
      <alignment horizontal="left" vertical="center"/>
      <protection hidden="1"/>
    </xf>
    <xf numFmtId="0" fontId="15" fillId="3" borderId="5" xfId="0" applyFont="1" applyFill="1" applyBorder="1" applyProtection="1">
      <alignment vertical="center"/>
      <protection hidden="1"/>
    </xf>
    <xf numFmtId="0" fontId="15" fillId="3" borderId="7" xfId="0" applyFont="1" applyFill="1" applyBorder="1" applyProtection="1">
      <alignment vertical="center"/>
      <protection hidden="1"/>
    </xf>
    <xf numFmtId="0" fontId="18" fillId="3" borderId="13" xfId="0" applyFont="1" applyFill="1" applyBorder="1" applyProtection="1">
      <alignment vertical="center"/>
      <protection hidden="1"/>
    </xf>
    <xf numFmtId="0" fontId="18" fillId="3" borderId="34" xfId="0" applyFont="1" applyFill="1" applyBorder="1" applyProtection="1">
      <alignment vertical="center"/>
      <protection hidden="1"/>
    </xf>
    <xf numFmtId="0" fontId="18" fillId="0" borderId="11" xfId="0" applyFont="1" applyBorder="1" applyAlignment="1" applyProtection="1">
      <alignment horizontal="left" vertical="center"/>
      <protection hidden="1"/>
    </xf>
    <xf numFmtId="0" fontId="18" fillId="0" borderId="13" xfId="0" applyFont="1" applyBorder="1" applyAlignment="1" applyProtection="1">
      <alignment horizontal="left" vertical="center"/>
      <protection hidden="1"/>
    </xf>
    <xf numFmtId="0" fontId="18" fillId="0" borderId="16" xfId="0" applyFont="1" applyBorder="1" applyAlignment="1" applyProtection="1">
      <alignment horizontal="left" vertical="center"/>
      <protection hidden="1"/>
    </xf>
    <xf numFmtId="0" fontId="18" fillId="0" borderId="2" xfId="0" applyFont="1" applyBorder="1" applyAlignment="1" applyProtection="1">
      <alignment horizontal="left" vertical="center" wrapText="1"/>
      <protection locked="0"/>
    </xf>
    <xf numFmtId="0" fontId="18" fillId="0" borderId="4" xfId="0" applyFont="1" applyBorder="1" applyAlignment="1" applyProtection="1">
      <alignment horizontal="left" vertical="center" wrapText="1"/>
      <protection locked="0"/>
    </xf>
    <xf numFmtId="0" fontId="18" fillId="0" borderId="21" xfId="0" applyFont="1" applyBorder="1" applyAlignment="1" applyProtection="1">
      <alignment horizontal="left" vertical="center" wrapText="1"/>
      <protection locked="0"/>
    </xf>
    <xf numFmtId="0" fontId="15" fillId="3" borderId="146" xfId="0" applyFont="1" applyFill="1" applyBorder="1" applyAlignment="1">
      <alignment horizontal="left" vertical="center" wrapText="1" shrinkToFit="1"/>
    </xf>
    <xf numFmtId="0" fontId="15" fillId="3" borderId="51" xfId="0" applyFont="1" applyFill="1" applyBorder="1" applyAlignment="1">
      <alignment horizontal="left" vertical="center" wrapText="1" shrinkToFit="1"/>
    </xf>
    <xf numFmtId="0" fontId="15" fillId="3" borderId="4" xfId="0" applyFont="1" applyFill="1" applyBorder="1" applyAlignment="1">
      <alignment vertical="center" wrapText="1"/>
    </xf>
    <xf numFmtId="0" fontId="15" fillId="3" borderId="3" xfId="0" applyFont="1" applyFill="1" applyBorder="1">
      <alignment vertical="center"/>
    </xf>
    <xf numFmtId="0" fontId="15" fillId="3" borderId="5" xfId="0" applyFont="1" applyFill="1" applyBorder="1">
      <alignment vertical="center"/>
    </xf>
    <xf numFmtId="0" fontId="15" fillId="3" borderId="7" xfId="0" applyFont="1" applyFill="1" applyBorder="1">
      <alignment vertical="center"/>
    </xf>
    <xf numFmtId="0" fontId="18" fillId="0" borderId="2" xfId="0" applyFont="1" applyBorder="1" applyAlignment="1" applyProtection="1">
      <alignment horizontal="left" vertical="center"/>
      <protection locked="0"/>
    </xf>
    <xf numFmtId="0" fontId="18" fillId="0" borderId="4" xfId="0" applyFont="1" applyBorder="1" applyAlignment="1" applyProtection="1">
      <alignment horizontal="left" vertical="center"/>
      <protection locked="0"/>
    </xf>
    <xf numFmtId="0" fontId="18" fillId="0" borderId="21" xfId="0" applyFont="1" applyBorder="1" applyAlignment="1" applyProtection="1">
      <alignment horizontal="left" vertical="center"/>
      <protection locked="0"/>
    </xf>
    <xf numFmtId="0" fontId="18" fillId="0" borderId="22" xfId="0" applyFont="1" applyBorder="1" applyAlignment="1" applyProtection="1">
      <alignment horizontal="left" vertical="center"/>
      <protection locked="0"/>
    </xf>
    <xf numFmtId="0" fontId="18" fillId="0" borderId="23" xfId="0" applyFont="1" applyBorder="1" applyAlignment="1" applyProtection="1">
      <alignment horizontal="left" vertical="center"/>
      <protection locked="0"/>
    </xf>
    <xf numFmtId="0" fontId="18" fillId="0" borderId="24" xfId="0" applyFont="1" applyBorder="1" applyAlignment="1" applyProtection="1">
      <alignment horizontal="left" vertical="center"/>
      <protection locked="0"/>
    </xf>
    <xf numFmtId="0" fontId="0" fillId="4" borderId="9" xfId="0" applyFill="1" applyBorder="1" applyAlignment="1">
      <alignment horizontal="left" vertical="center"/>
    </xf>
    <xf numFmtId="0" fontId="0" fillId="4" borderId="10" xfId="0" applyFill="1" applyBorder="1" applyAlignment="1">
      <alignment horizontal="left" vertical="center"/>
    </xf>
    <xf numFmtId="0" fontId="18" fillId="3" borderId="23" xfId="0" applyFont="1" applyFill="1" applyBorder="1">
      <alignment vertical="center"/>
    </xf>
    <xf numFmtId="0" fontId="18" fillId="3" borderId="28" xfId="0" applyFont="1" applyFill="1" applyBorder="1">
      <alignment vertical="center"/>
    </xf>
    <xf numFmtId="0" fontId="15" fillId="3" borderId="13" xfId="0" applyFont="1" applyFill="1" applyBorder="1">
      <alignment vertical="center"/>
    </xf>
    <xf numFmtId="0" fontId="15" fillId="3" borderId="34" xfId="0" applyFont="1" applyFill="1" applyBorder="1">
      <alignment vertical="center"/>
    </xf>
    <xf numFmtId="0" fontId="18" fillId="0" borderId="11" xfId="0" applyFont="1" applyBorder="1" applyAlignment="1" applyProtection="1">
      <alignment horizontal="left" vertical="center"/>
      <protection locked="0"/>
    </xf>
    <xf numFmtId="0" fontId="18" fillId="0" borderId="13" xfId="0" applyFont="1" applyBorder="1" applyAlignment="1" applyProtection="1">
      <alignment horizontal="left" vertical="center"/>
      <protection locked="0"/>
    </xf>
    <xf numFmtId="0" fontId="18" fillId="0" borderId="16" xfId="0" applyFont="1" applyBorder="1" applyAlignment="1" applyProtection="1">
      <alignment horizontal="left" vertical="center"/>
      <protection locked="0"/>
    </xf>
    <xf numFmtId="0" fontId="18" fillId="0" borderId="2" xfId="0" applyFont="1" applyBorder="1" applyAlignment="1" applyProtection="1">
      <alignment horizontal="left" vertical="top" wrapText="1"/>
      <protection locked="0"/>
    </xf>
    <xf numFmtId="0" fontId="18" fillId="0" borderId="4" xfId="0" applyFont="1" applyBorder="1" applyAlignment="1" applyProtection="1">
      <alignment horizontal="left" vertical="top" wrapText="1"/>
      <protection locked="0"/>
    </xf>
    <xf numFmtId="0" fontId="18" fillId="0" borderId="21" xfId="0" applyFont="1" applyBorder="1" applyAlignment="1" applyProtection="1">
      <alignment horizontal="left" vertical="top" wrapText="1"/>
      <protection locked="0"/>
    </xf>
    <xf numFmtId="0" fontId="18" fillId="3" borderId="13" xfId="0" applyFont="1" applyFill="1" applyBorder="1">
      <alignment vertical="center"/>
    </xf>
    <xf numFmtId="0" fontId="18" fillId="3" borderId="34" xfId="0" applyFont="1" applyFill="1" applyBorder="1">
      <alignment vertical="center"/>
    </xf>
    <xf numFmtId="0" fontId="18" fillId="3" borderId="4" xfId="0" applyFont="1" applyFill="1" applyBorder="1">
      <alignment vertical="center"/>
    </xf>
    <xf numFmtId="0" fontId="18" fillId="3" borderId="3" xfId="0" applyFont="1" applyFill="1" applyBorder="1">
      <alignment vertical="center"/>
    </xf>
    <xf numFmtId="0" fontId="17" fillId="3" borderId="31" xfId="0" applyFont="1" applyFill="1" applyBorder="1" applyAlignment="1" applyProtection="1">
      <alignment vertical="center" wrapText="1"/>
      <protection hidden="1"/>
    </xf>
    <xf numFmtId="0" fontId="17" fillId="3" borderId="32" xfId="0" applyFont="1" applyFill="1" applyBorder="1" applyAlignment="1" applyProtection="1">
      <alignment vertical="center" wrapText="1"/>
      <protection hidden="1"/>
    </xf>
    <xf numFmtId="0" fontId="18" fillId="3" borderId="43" xfId="0" applyFont="1" applyFill="1" applyBorder="1">
      <alignment vertical="center"/>
    </xf>
    <xf numFmtId="0" fontId="18" fillId="3" borderId="41" xfId="0" applyFont="1" applyFill="1" applyBorder="1">
      <alignment vertical="center"/>
    </xf>
    <xf numFmtId="0" fontId="18" fillId="3" borderId="42" xfId="0" applyFont="1" applyFill="1" applyBorder="1">
      <alignment vertical="center"/>
    </xf>
    <xf numFmtId="0" fontId="17" fillId="3" borderId="31" xfId="0" applyFont="1" applyFill="1" applyBorder="1" applyAlignment="1">
      <alignment vertical="center" wrapText="1"/>
    </xf>
    <xf numFmtId="0" fontId="17" fillId="3" borderId="32" xfId="0" applyFont="1" applyFill="1" applyBorder="1" applyAlignment="1">
      <alignment vertical="center" wrapText="1"/>
    </xf>
    <xf numFmtId="0" fontId="4" fillId="3" borderId="31" xfId="0" applyFont="1" applyFill="1" applyBorder="1" applyAlignment="1">
      <alignment horizontal="left" vertical="center" wrapText="1"/>
    </xf>
    <xf numFmtId="0" fontId="9" fillId="3" borderId="32" xfId="0" applyFont="1" applyFill="1" applyBorder="1" applyAlignment="1">
      <alignment horizontal="left" vertical="center"/>
    </xf>
    <xf numFmtId="0" fontId="9" fillId="3" borderId="33" xfId="0" applyFont="1" applyFill="1" applyBorder="1" applyAlignment="1">
      <alignment horizontal="left" vertical="center"/>
    </xf>
    <xf numFmtId="0" fontId="4" fillId="3" borderId="31" xfId="0" applyFont="1" applyFill="1" applyBorder="1" applyAlignment="1" applyProtection="1">
      <alignment horizontal="left" vertical="center" wrapText="1"/>
      <protection hidden="1"/>
    </xf>
    <xf numFmtId="0" fontId="9" fillId="3" borderId="32" xfId="0" applyFont="1" applyFill="1" applyBorder="1" applyAlignment="1" applyProtection="1">
      <alignment horizontal="left" vertical="center"/>
      <protection hidden="1"/>
    </xf>
    <xf numFmtId="0" fontId="9" fillId="3" borderId="33" xfId="0" applyFont="1" applyFill="1" applyBorder="1" applyAlignment="1" applyProtection="1">
      <alignment horizontal="left" vertical="center"/>
      <protection hidden="1"/>
    </xf>
    <xf numFmtId="0" fontId="68" fillId="6" borderId="0" xfId="0" applyFont="1" applyFill="1" applyAlignment="1">
      <alignment horizontal="left" vertical="center" wrapText="1"/>
    </xf>
    <xf numFmtId="0" fontId="12" fillId="3" borderId="41" xfId="0" applyFont="1" applyFill="1" applyBorder="1" applyAlignment="1">
      <alignment vertical="center" wrapText="1"/>
    </xf>
    <xf numFmtId="0" fontId="12" fillId="3" borderId="13" xfId="0" applyFont="1" applyFill="1" applyBorder="1" applyAlignment="1">
      <alignment vertical="center" wrapText="1"/>
    </xf>
    <xf numFmtId="0" fontId="17" fillId="3" borderId="13" xfId="0" applyFont="1" applyFill="1" applyBorder="1" applyAlignment="1">
      <alignment vertical="center" wrapText="1"/>
    </xf>
    <xf numFmtId="0" fontId="17" fillId="3" borderId="16" xfId="0" applyFont="1" applyFill="1" applyBorder="1" applyAlignment="1">
      <alignment vertical="center" wrapText="1"/>
    </xf>
    <xf numFmtId="0" fontId="17" fillId="3" borderId="8" xfId="0" applyFont="1" applyFill="1" applyBorder="1" applyAlignment="1">
      <alignment vertical="center" wrapText="1"/>
    </xf>
    <xf numFmtId="0" fontId="17" fillId="3" borderId="9" xfId="0" applyFont="1" applyFill="1" applyBorder="1" applyAlignment="1">
      <alignment vertical="center" wrapText="1"/>
    </xf>
    <xf numFmtId="0" fontId="17" fillId="3" borderId="10" xfId="0" applyFont="1" applyFill="1" applyBorder="1" applyAlignment="1">
      <alignment vertical="center" wrapText="1"/>
    </xf>
    <xf numFmtId="0" fontId="18" fillId="3" borderId="42" xfId="0" applyFont="1" applyFill="1" applyBorder="1" applyAlignment="1">
      <alignment horizontal="left" vertical="top" indent="1" shrinkToFit="1"/>
    </xf>
    <xf numFmtId="0" fontId="18" fillId="3" borderId="23" xfId="0" applyFont="1" applyFill="1" applyBorder="1" applyAlignment="1">
      <alignment horizontal="left" vertical="top" indent="1" shrinkToFit="1"/>
    </xf>
    <xf numFmtId="0" fontId="18" fillId="3" borderId="28" xfId="0" applyFont="1" applyFill="1" applyBorder="1" applyAlignment="1">
      <alignment horizontal="left" vertical="top" indent="1" shrinkToFit="1"/>
    </xf>
    <xf numFmtId="0" fontId="18" fillId="3" borderId="43" xfId="0" applyFont="1" applyFill="1" applyBorder="1" applyAlignment="1">
      <alignment horizontal="left" vertical="top" indent="1" shrinkToFit="1"/>
    </xf>
    <xf numFmtId="0" fontId="18" fillId="3" borderId="4" xfId="0" applyFont="1" applyFill="1" applyBorder="1" applyAlignment="1">
      <alignment horizontal="left" vertical="top" indent="1" shrinkToFit="1"/>
    </xf>
    <xf numFmtId="0" fontId="18" fillId="3" borderId="3" xfId="0" applyFont="1" applyFill="1" applyBorder="1" applyAlignment="1">
      <alignment horizontal="left" vertical="top" indent="1" shrinkToFit="1"/>
    </xf>
    <xf numFmtId="0" fontId="18" fillId="3" borderId="43" xfId="0" applyFont="1" applyFill="1" applyBorder="1" applyAlignment="1">
      <alignment horizontal="left" vertical="center" indent="1" shrinkToFit="1"/>
    </xf>
    <xf numFmtId="0" fontId="18" fillId="3" borderId="4" xfId="0" applyFont="1" applyFill="1" applyBorder="1" applyAlignment="1">
      <alignment horizontal="left" vertical="center" indent="1" shrinkToFit="1"/>
    </xf>
    <xf numFmtId="0" fontId="18" fillId="3" borderId="3" xfId="0" applyFont="1" applyFill="1" applyBorder="1" applyAlignment="1">
      <alignment horizontal="left" vertical="center" indent="1" shrinkToFit="1"/>
    </xf>
    <xf numFmtId="0" fontId="18" fillId="7" borderId="2" xfId="0" applyFont="1" applyFill="1" applyBorder="1" applyAlignment="1" applyProtection="1">
      <alignment horizontal="left" vertical="center" shrinkToFit="1"/>
      <protection hidden="1"/>
    </xf>
    <xf numFmtId="0" fontId="18" fillId="7" borderId="21" xfId="0" applyFont="1" applyFill="1" applyBorder="1" applyAlignment="1">
      <alignment horizontal="left" vertical="center" shrinkToFit="1"/>
    </xf>
    <xf numFmtId="0" fontId="18" fillId="0" borderId="2" xfId="0" applyFont="1" applyBorder="1" applyAlignment="1" applyProtection="1">
      <alignment horizontal="left" vertical="center" shrinkToFit="1"/>
      <protection hidden="1"/>
    </xf>
    <xf numFmtId="0" fontId="18" fillId="0" borderId="21" xfId="0" applyFont="1" applyBorder="1" applyAlignment="1">
      <alignment horizontal="left" vertical="center" shrinkToFit="1"/>
    </xf>
    <xf numFmtId="0" fontId="18" fillId="3" borderId="95" xfId="0" applyFont="1" applyFill="1" applyBorder="1" applyAlignment="1">
      <alignment horizontal="center" vertical="center" wrapText="1"/>
    </xf>
    <xf numFmtId="0" fontId="18" fillId="3" borderId="76" xfId="0" applyFont="1" applyFill="1" applyBorder="1" applyAlignment="1">
      <alignment horizontal="center" vertical="center" wrapText="1"/>
    </xf>
    <xf numFmtId="0" fontId="18" fillId="0" borderId="69" xfId="0" applyFont="1" applyBorder="1" applyAlignment="1" applyProtection="1">
      <alignment horizontal="left" vertical="center" shrinkToFit="1"/>
      <protection hidden="1"/>
    </xf>
    <xf numFmtId="0" fontId="18" fillId="0" borderId="71" xfId="0" applyFont="1" applyBorder="1" applyAlignment="1">
      <alignment horizontal="left" vertical="center" shrinkToFit="1"/>
    </xf>
    <xf numFmtId="0" fontId="23" fillId="3" borderId="43" xfId="0" applyFont="1" applyFill="1" applyBorder="1" applyAlignment="1">
      <alignment vertical="center" wrapText="1"/>
    </xf>
    <xf numFmtId="0" fontId="23" fillId="3" borderId="4" xfId="0" applyFont="1" applyFill="1" applyBorder="1" applyAlignment="1">
      <alignment vertical="center" wrapText="1"/>
    </xf>
    <xf numFmtId="0" fontId="0" fillId="3" borderId="4" xfId="0" applyFill="1" applyBorder="1">
      <alignment vertical="center"/>
    </xf>
    <xf numFmtId="0" fontId="0" fillId="3" borderId="21" xfId="0" applyFill="1" applyBorder="1">
      <alignment vertical="center"/>
    </xf>
    <xf numFmtId="0" fontId="17" fillId="0" borderId="74" xfId="0" applyFont="1" applyBorder="1" applyAlignment="1" applyProtection="1">
      <alignment vertical="top" wrapText="1"/>
      <protection locked="0"/>
    </xf>
    <xf numFmtId="0" fontId="17" fillId="0" borderId="30" xfId="0" applyFont="1" applyBorder="1" applyAlignment="1" applyProtection="1">
      <alignment vertical="top" wrapText="1"/>
      <protection locked="0"/>
    </xf>
    <xf numFmtId="0" fontId="17" fillId="0" borderId="53" xfId="0" applyFont="1" applyBorder="1" applyAlignment="1" applyProtection="1">
      <alignment vertical="top" wrapText="1"/>
      <protection locked="0"/>
    </xf>
    <xf numFmtId="0" fontId="17" fillId="0" borderId="38" xfId="0" applyFont="1" applyBorder="1" applyAlignment="1" applyProtection="1">
      <alignment vertical="top" wrapText="1"/>
      <protection locked="0"/>
    </xf>
    <xf numFmtId="0" fontId="17" fillId="0" borderId="29" xfId="0" applyFont="1" applyBorder="1" applyAlignment="1" applyProtection="1">
      <alignment vertical="top" wrapText="1"/>
      <protection locked="0"/>
    </xf>
    <xf numFmtId="0" fontId="17" fillId="0" borderId="39" xfId="0" applyFont="1" applyBorder="1" applyAlignment="1" applyProtection="1">
      <alignment vertical="top" wrapText="1"/>
      <protection locked="0"/>
    </xf>
    <xf numFmtId="0" fontId="17" fillId="0" borderId="44" xfId="0" applyFont="1" applyBorder="1" applyAlignment="1" applyProtection="1">
      <alignment vertical="top" wrapText="1"/>
      <protection locked="0"/>
    </xf>
    <xf numFmtId="0" fontId="17" fillId="0" borderId="14" xfId="0" applyFont="1" applyBorder="1" applyAlignment="1" applyProtection="1">
      <alignment vertical="top" wrapText="1"/>
      <protection locked="0"/>
    </xf>
    <xf numFmtId="0" fontId="17" fillId="0" borderId="45" xfId="0" applyFont="1" applyBorder="1" applyAlignment="1" applyProtection="1">
      <alignment vertical="top" wrapText="1"/>
      <protection locked="0"/>
    </xf>
    <xf numFmtId="0" fontId="17" fillId="3" borderId="43" xfId="0" applyFont="1" applyFill="1" applyBorder="1" applyAlignment="1">
      <alignment vertical="center" shrinkToFit="1"/>
    </xf>
    <xf numFmtId="0" fontId="17" fillId="3" borderId="4" xfId="0" applyFont="1" applyFill="1" applyBorder="1" applyAlignment="1">
      <alignment vertical="center" shrinkToFit="1"/>
    </xf>
    <xf numFmtId="0" fontId="23" fillId="3" borderId="4" xfId="0" applyFont="1" applyFill="1" applyBorder="1" applyAlignment="1">
      <alignment vertical="center" shrinkToFit="1"/>
    </xf>
    <xf numFmtId="0" fontId="0" fillId="3" borderId="4" xfId="0" applyFill="1" applyBorder="1" applyAlignment="1">
      <alignment vertical="center" shrinkToFit="1"/>
    </xf>
    <xf numFmtId="0" fontId="0" fillId="3" borderId="21" xfId="0" applyFill="1" applyBorder="1" applyAlignment="1">
      <alignment vertical="center" shrinkToFit="1"/>
    </xf>
    <xf numFmtId="0" fontId="18" fillId="7" borderId="21" xfId="0" applyFont="1" applyFill="1" applyBorder="1" applyAlignment="1" applyProtection="1">
      <alignment horizontal="left" vertical="center" shrinkToFit="1"/>
      <protection hidden="1"/>
    </xf>
    <xf numFmtId="0" fontId="18" fillId="0" borderId="2" xfId="0" applyFont="1" applyBorder="1" applyAlignment="1" applyProtection="1">
      <alignment vertical="center" shrinkToFit="1"/>
      <protection locked="0"/>
    </xf>
    <xf numFmtId="0" fontId="18" fillId="0" borderId="4" xfId="0" applyFont="1" applyBorder="1" applyAlignment="1" applyProtection="1">
      <alignment vertical="center" shrinkToFit="1"/>
      <protection locked="0"/>
    </xf>
    <xf numFmtId="0" fontId="18" fillId="0" borderId="21" xfId="0" applyFont="1" applyBorder="1" applyAlignment="1" applyProtection="1">
      <alignment vertical="center" shrinkToFit="1"/>
      <protection locked="0"/>
    </xf>
    <xf numFmtId="0" fontId="18" fillId="0" borderId="4" xfId="0" applyFont="1" applyBorder="1" applyAlignment="1" applyProtection="1">
      <alignment vertical="top" wrapText="1"/>
      <protection locked="0"/>
    </xf>
    <xf numFmtId="0" fontId="18" fillId="0" borderId="21" xfId="0" applyFont="1" applyBorder="1" applyAlignment="1" applyProtection="1">
      <alignment vertical="top" wrapText="1"/>
      <protection locked="0"/>
    </xf>
    <xf numFmtId="180" fontId="18" fillId="0" borderId="2" xfId="0" applyNumberFormat="1" applyFont="1" applyBorder="1" applyAlignment="1" applyProtection="1">
      <alignment horizontal="left" vertical="top" wrapText="1"/>
      <protection locked="0"/>
    </xf>
    <xf numFmtId="180" fontId="18" fillId="0" borderId="4" xfId="0" applyNumberFormat="1" applyFont="1" applyBorder="1" applyAlignment="1" applyProtection="1">
      <alignment horizontal="left" vertical="top" wrapText="1"/>
      <protection locked="0"/>
    </xf>
    <xf numFmtId="180" fontId="18" fillId="0" borderId="21" xfId="0" applyNumberFormat="1" applyFont="1" applyBorder="1" applyAlignment="1" applyProtection="1">
      <alignment horizontal="left" vertical="top" wrapText="1"/>
      <protection locked="0"/>
    </xf>
    <xf numFmtId="0" fontId="18" fillId="0" borderId="21" xfId="0" applyFont="1" applyBorder="1" applyAlignment="1" applyProtection="1">
      <alignment horizontal="left" vertical="center" shrinkToFit="1"/>
      <protection hidden="1"/>
    </xf>
    <xf numFmtId="0" fontId="35" fillId="6" borderId="0" xfId="0" applyFont="1" applyFill="1" applyAlignment="1" applyProtection="1">
      <alignment horizontal="left" vertical="center" wrapText="1"/>
      <protection hidden="1"/>
    </xf>
    <xf numFmtId="0" fontId="4" fillId="6" borderId="0" xfId="0" applyFont="1" applyFill="1" applyAlignment="1" applyProtection="1">
      <alignment horizontal="left" vertical="center" wrapText="1"/>
      <protection hidden="1"/>
    </xf>
    <xf numFmtId="0" fontId="68" fillId="6" borderId="0" xfId="0" applyFont="1" applyFill="1" applyAlignment="1" applyProtection="1">
      <alignment horizontal="left" vertical="center" wrapText="1"/>
      <protection hidden="1"/>
    </xf>
    <xf numFmtId="0" fontId="68" fillId="6" borderId="0" xfId="0" applyFont="1" applyFill="1" applyAlignment="1">
      <alignment horizontal="left" vertical="center"/>
    </xf>
    <xf numFmtId="0" fontId="25" fillId="6" borderId="169" xfId="0" applyFont="1" applyFill="1" applyBorder="1" applyAlignment="1" applyProtection="1">
      <alignment horizontal="center" wrapText="1"/>
      <protection hidden="1"/>
    </xf>
    <xf numFmtId="181" fontId="18" fillId="0" borderId="22" xfId="0" applyNumberFormat="1" applyFont="1" applyBorder="1" applyAlignment="1" applyProtection="1">
      <alignment horizontal="left" vertical="top" wrapText="1"/>
      <protection locked="0"/>
    </xf>
    <xf numFmtId="181" fontId="18" fillId="0" borderId="23" xfId="0" applyNumberFormat="1" applyFont="1" applyBorder="1" applyAlignment="1" applyProtection="1">
      <alignment horizontal="left" vertical="top" wrapText="1"/>
      <protection locked="0"/>
    </xf>
    <xf numFmtId="181" fontId="18" fillId="0" borderId="24" xfId="0" applyNumberFormat="1" applyFont="1" applyBorder="1" applyAlignment="1" applyProtection="1">
      <alignment horizontal="left" vertical="top" wrapText="1"/>
      <protection locked="0"/>
    </xf>
    <xf numFmtId="0" fontId="18" fillId="0" borderId="72" xfId="0" applyFont="1" applyBorder="1" applyAlignment="1" applyProtection="1">
      <alignment horizontal="left" vertical="center" shrinkToFit="1"/>
      <protection hidden="1"/>
    </xf>
    <xf numFmtId="0" fontId="18" fillId="0" borderId="60" xfId="0" applyFont="1" applyBorder="1" applyAlignment="1" applyProtection="1">
      <alignment horizontal="left" vertical="center" shrinkToFit="1"/>
      <protection hidden="1"/>
    </xf>
    <xf numFmtId="0" fontId="17" fillId="3" borderId="41" xfId="0" applyFont="1" applyFill="1" applyBorder="1" applyAlignment="1">
      <alignment horizontal="left" vertical="center" shrinkToFit="1"/>
    </xf>
    <xf numFmtId="0" fontId="17" fillId="3" borderId="13" xfId="0" applyFont="1" applyFill="1" applyBorder="1" applyAlignment="1">
      <alignment horizontal="left" vertical="center" shrinkToFit="1"/>
    </xf>
    <xf numFmtId="0" fontId="17" fillId="3" borderId="16" xfId="0" applyFont="1" applyFill="1" applyBorder="1" applyAlignment="1">
      <alignment horizontal="left" vertical="center" shrinkToFit="1"/>
    </xf>
    <xf numFmtId="0" fontId="4" fillId="3" borderId="139" xfId="0" applyFont="1" applyFill="1" applyBorder="1" applyAlignment="1">
      <alignment horizontal="left" vertical="center" wrapText="1"/>
    </xf>
    <xf numFmtId="0" fontId="7" fillId="3" borderId="140" xfId="0" applyFont="1" applyFill="1" applyBorder="1" applyAlignment="1">
      <alignment horizontal="left" vertical="center" wrapText="1"/>
    </xf>
    <xf numFmtId="0" fontId="7" fillId="3" borderId="141" xfId="0" applyFont="1" applyFill="1" applyBorder="1" applyAlignment="1">
      <alignment horizontal="left" vertical="center" wrapText="1"/>
    </xf>
    <xf numFmtId="0" fontId="7" fillId="3" borderId="38" xfId="0" applyFont="1" applyFill="1" applyBorder="1" applyAlignment="1">
      <alignment horizontal="left" vertical="center" wrapText="1"/>
    </xf>
    <xf numFmtId="0" fontId="7" fillId="3" borderId="29" xfId="0" applyFont="1" applyFill="1" applyBorder="1" applyAlignment="1">
      <alignment horizontal="left" vertical="center" wrapText="1"/>
    </xf>
    <xf numFmtId="0" fontId="7" fillId="3" borderId="39" xfId="0" applyFont="1" applyFill="1" applyBorder="1" applyAlignment="1">
      <alignment horizontal="left" vertical="center" wrapText="1"/>
    </xf>
    <xf numFmtId="0" fontId="19" fillId="3" borderId="43" xfId="0" applyFont="1" applyFill="1" applyBorder="1" applyAlignment="1">
      <alignment vertical="center" shrinkToFit="1"/>
    </xf>
    <xf numFmtId="0" fontId="19" fillId="3" borderId="4" xfId="0" applyFont="1" applyFill="1" applyBorder="1" applyAlignment="1">
      <alignment vertical="center" shrinkToFit="1"/>
    </xf>
    <xf numFmtId="0" fontId="17" fillId="3" borderId="43" xfId="0" applyFont="1" applyFill="1" applyBorder="1" applyAlignment="1">
      <alignment vertical="top" wrapText="1"/>
    </xf>
    <xf numFmtId="0" fontId="17" fillId="3" borderId="4" xfId="0" applyFont="1" applyFill="1" applyBorder="1" applyAlignment="1">
      <alignment vertical="top" wrapText="1"/>
    </xf>
    <xf numFmtId="0" fontId="17" fillId="3" borderId="21" xfId="0" applyFont="1" applyFill="1" applyBorder="1" applyAlignment="1">
      <alignment vertical="top" wrapText="1"/>
    </xf>
    <xf numFmtId="0" fontId="17" fillId="0" borderId="43" xfId="0" applyFont="1" applyBorder="1" applyAlignment="1" applyProtection="1">
      <alignment horizontal="left" vertical="top" wrapText="1"/>
      <protection locked="0"/>
    </xf>
    <xf numFmtId="0" fontId="17" fillId="0" borderId="4" xfId="0" applyFont="1" applyBorder="1" applyAlignment="1" applyProtection="1">
      <alignment horizontal="left" vertical="top" wrapText="1"/>
      <protection locked="0"/>
    </xf>
    <xf numFmtId="0" fontId="17" fillId="0" borderId="21" xfId="0" applyFont="1" applyBorder="1" applyAlignment="1" applyProtection="1">
      <alignment horizontal="left" vertical="top" wrapText="1"/>
      <protection locked="0"/>
    </xf>
    <xf numFmtId="0" fontId="17" fillId="0" borderId="42" xfId="0" applyFont="1" applyBorder="1" applyAlignment="1" applyProtection="1">
      <alignment horizontal="left" vertical="top" wrapText="1"/>
      <protection locked="0"/>
    </xf>
    <xf numFmtId="0" fontId="17" fillId="0" borderId="23" xfId="0" applyFont="1" applyBorder="1" applyAlignment="1" applyProtection="1">
      <alignment horizontal="left" vertical="top" wrapText="1"/>
      <protection locked="0"/>
    </xf>
    <xf numFmtId="0" fontId="17" fillId="0" borderId="24" xfId="0" applyFont="1" applyBorder="1" applyAlignment="1" applyProtection="1">
      <alignment horizontal="left" vertical="top" wrapText="1"/>
      <protection locked="0"/>
    </xf>
    <xf numFmtId="0" fontId="27" fillId="3" borderId="44" xfId="0" applyFont="1" applyFill="1" applyBorder="1" applyAlignment="1">
      <alignment vertical="top" wrapText="1"/>
    </xf>
    <xf numFmtId="0" fontId="27" fillId="3" borderId="14" xfId="0" applyFont="1" applyFill="1" applyBorder="1" applyAlignment="1">
      <alignment vertical="top" wrapText="1"/>
    </xf>
    <xf numFmtId="0" fontId="27" fillId="3" borderId="45" xfId="0" applyFont="1" applyFill="1" applyBorder="1" applyAlignment="1">
      <alignment vertical="top" wrapText="1"/>
    </xf>
    <xf numFmtId="0" fontId="17" fillId="3" borderId="44" xfId="0" applyFont="1" applyFill="1" applyBorder="1" applyAlignment="1">
      <alignment vertical="center" wrapText="1"/>
    </xf>
    <xf numFmtId="0" fontId="17" fillId="3" borderId="14" xfId="0" applyFont="1" applyFill="1" applyBorder="1" applyAlignment="1">
      <alignment vertical="center" wrapText="1"/>
    </xf>
    <xf numFmtId="0" fontId="17" fillId="3" borderId="45" xfId="0" applyFont="1" applyFill="1" applyBorder="1" applyAlignment="1">
      <alignment vertical="center" wrapText="1"/>
    </xf>
    <xf numFmtId="0" fontId="17" fillId="0" borderId="74" xfId="0" applyFont="1" applyBorder="1" applyAlignment="1" applyProtection="1">
      <alignment horizontal="left" vertical="top" wrapText="1"/>
      <protection locked="0"/>
    </xf>
    <xf numFmtId="0" fontId="17" fillId="0" borderId="30" xfId="0" applyFont="1" applyBorder="1" applyAlignment="1" applyProtection="1">
      <alignment horizontal="left" vertical="top" wrapText="1"/>
      <protection locked="0"/>
    </xf>
    <xf numFmtId="0" fontId="17" fillId="0" borderId="53" xfId="0" applyFont="1" applyBorder="1" applyAlignment="1" applyProtection="1">
      <alignment horizontal="left" vertical="top" wrapText="1"/>
      <protection locked="0"/>
    </xf>
    <xf numFmtId="0" fontId="17" fillId="0" borderId="58" xfId="0" applyFont="1" applyBorder="1" applyAlignment="1" applyProtection="1">
      <alignment horizontal="left" vertical="top" wrapText="1"/>
      <protection locked="0"/>
    </xf>
    <xf numFmtId="0" fontId="17" fillId="0" borderId="0" xfId="0" applyFont="1" applyAlignment="1" applyProtection="1">
      <alignment horizontal="left" vertical="top" wrapText="1"/>
      <protection locked="0"/>
    </xf>
    <xf numFmtId="0" fontId="17" fillId="0" borderId="48" xfId="0" applyFont="1" applyBorder="1" applyAlignment="1" applyProtection="1">
      <alignment horizontal="left" vertical="top" wrapText="1"/>
      <protection locked="0"/>
    </xf>
    <xf numFmtId="0" fontId="17" fillId="0" borderId="44" xfId="0" applyFont="1" applyBorder="1" applyAlignment="1" applyProtection="1">
      <alignment horizontal="left" vertical="top" wrapText="1"/>
      <protection locked="0"/>
    </xf>
    <xf numFmtId="0" fontId="17" fillId="0" borderId="14" xfId="0" applyFont="1" applyBorder="1" applyAlignment="1" applyProtection="1">
      <alignment horizontal="left" vertical="top" wrapText="1"/>
      <protection locked="0"/>
    </xf>
    <xf numFmtId="0" fontId="17" fillId="0" borderId="45" xfId="0" applyFont="1" applyBorder="1" applyAlignment="1" applyProtection="1">
      <alignment horizontal="left" vertical="top" wrapText="1"/>
      <protection locked="0"/>
    </xf>
    <xf numFmtId="191" fontId="27" fillId="3" borderId="42" xfId="0" applyNumberFormat="1" applyFont="1" applyFill="1" applyBorder="1" applyAlignment="1">
      <alignment vertical="center" wrapText="1" shrinkToFit="1"/>
    </xf>
    <xf numFmtId="191" fontId="27" fillId="3" borderId="28" xfId="0" applyNumberFormat="1" applyFont="1" applyFill="1" applyBorder="1" applyAlignment="1">
      <alignment vertical="center" wrapText="1" shrinkToFit="1"/>
    </xf>
    <xf numFmtId="192" fontId="43" fillId="0" borderId="22" xfId="0" applyNumberFormat="1" applyFont="1" applyBorder="1" applyAlignment="1" applyProtection="1">
      <alignment horizontal="center" vertical="center" wrapText="1"/>
      <protection hidden="1"/>
    </xf>
    <xf numFmtId="192" fontId="43" fillId="0" borderId="23" xfId="0" applyNumberFormat="1" applyFont="1" applyBorder="1" applyAlignment="1" applyProtection="1">
      <alignment horizontal="center" vertical="center" wrapText="1"/>
      <protection hidden="1"/>
    </xf>
    <xf numFmtId="192" fontId="43" fillId="0" borderId="24" xfId="0" applyNumberFormat="1" applyFont="1" applyBorder="1" applyAlignment="1" applyProtection="1">
      <alignment horizontal="center" vertical="center" wrapText="1"/>
      <protection hidden="1"/>
    </xf>
    <xf numFmtId="0" fontId="21" fillId="0" borderId="0" xfId="0" applyFont="1" applyAlignment="1" applyProtection="1">
      <alignment horizontal="right" vertical="center"/>
      <protection hidden="1"/>
    </xf>
    <xf numFmtId="0" fontId="27" fillId="0" borderId="18" xfId="0" applyFont="1" applyBorder="1" applyAlignment="1" applyProtection="1">
      <alignment horizontal="left" vertical="center"/>
      <protection hidden="1"/>
    </xf>
    <xf numFmtId="0" fontId="27" fillId="0" borderId="22" xfId="0" applyFont="1" applyBorder="1" applyAlignment="1" applyProtection="1">
      <alignment horizontal="left" vertical="center"/>
      <protection hidden="1"/>
    </xf>
    <xf numFmtId="0" fontId="27" fillId="0" borderId="37" xfId="0" applyFont="1" applyBorder="1" applyAlignment="1" applyProtection="1">
      <alignment horizontal="left" vertical="center"/>
      <protection hidden="1"/>
    </xf>
    <xf numFmtId="0" fontId="8" fillId="0" borderId="1" xfId="0" applyFont="1" applyBorder="1" applyAlignment="1" applyProtection="1">
      <alignment horizontal="left" vertical="center" wrapText="1"/>
      <protection hidden="1"/>
    </xf>
    <xf numFmtId="0" fontId="8" fillId="0" borderId="2" xfId="0" applyFont="1" applyBorder="1" applyAlignment="1" applyProtection="1">
      <alignment horizontal="left" vertical="center" wrapText="1"/>
      <protection hidden="1"/>
    </xf>
    <xf numFmtId="0" fontId="8" fillId="0" borderId="97" xfId="0" applyFont="1" applyBorder="1" applyAlignment="1" applyProtection="1">
      <alignment horizontal="left" vertical="center" wrapText="1"/>
      <protection hidden="1"/>
    </xf>
    <xf numFmtId="0" fontId="8" fillId="0" borderId="12" xfId="0" applyFont="1" applyBorder="1" applyAlignment="1" applyProtection="1">
      <alignment horizontal="left" vertical="center"/>
      <protection locked="0"/>
    </xf>
    <xf numFmtId="0" fontId="8" fillId="0" borderId="11" xfId="0" applyFont="1" applyBorder="1" applyAlignment="1" applyProtection="1">
      <alignment horizontal="left" vertical="center"/>
      <protection locked="0"/>
    </xf>
    <xf numFmtId="0" fontId="8" fillId="0" borderId="35" xfId="0" applyFont="1" applyBorder="1" applyAlignment="1" applyProtection="1">
      <alignment horizontal="left" vertical="center"/>
      <protection locked="0"/>
    </xf>
    <xf numFmtId="0" fontId="17" fillId="6" borderId="171" xfId="0" applyFont="1" applyFill="1" applyBorder="1" applyAlignment="1">
      <alignment horizontal="left" vertical="top" wrapText="1"/>
    </xf>
    <xf numFmtId="0" fontId="17" fillId="6" borderId="32" xfId="0" applyFont="1" applyFill="1" applyBorder="1" applyAlignment="1">
      <alignment horizontal="left" vertical="top" wrapText="1"/>
    </xf>
    <xf numFmtId="0" fontId="17" fillId="6" borderId="33" xfId="0" applyFont="1" applyFill="1" applyBorder="1" applyAlignment="1">
      <alignment horizontal="left" vertical="top" wrapText="1"/>
    </xf>
    <xf numFmtId="0" fontId="24" fillId="3" borderId="50" xfId="0" applyFont="1" applyFill="1" applyBorder="1" applyAlignment="1">
      <alignment shrinkToFit="1"/>
    </xf>
    <xf numFmtId="0" fontId="24" fillId="3" borderId="47" xfId="0" applyFont="1" applyFill="1" applyBorder="1" applyAlignment="1">
      <alignment shrinkToFit="1"/>
    </xf>
    <xf numFmtId="0" fontId="24" fillId="3" borderId="49" xfId="0" applyFont="1" applyFill="1" applyBorder="1" applyAlignment="1">
      <alignment shrinkToFit="1"/>
    </xf>
    <xf numFmtId="0" fontId="17" fillId="3" borderId="41" xfId="0" applyFont="1" applyFill="1" applyBorder="1" applyAlignment="1">
      <alignment vertical="center" wrapText="1"/>
    </xf>
    <xf numFmtId="0" fontId="17" fillId="0" borderId="43" xfId="0" applyFont="1" applyBorder="1" applyAlignment="1" applyProtection="1">
      <alignment vertical="top" wrapText="1"/>
      <protection locked="0"/>
    </xf>
    <xf numFmtId="0" fontId="17" fillId="0" borderId="4" xfId="0" applyFont="1" applyBorder="1" applyAlignment="1" applyProtection="1">
      <alignment vertical="top" wrapText="1"/>
      <protection locked="0"/>
    </xf>
    <xf numFmtId="0" fontId="17" fillId="0" borderId="21" xfId="0" applyFont="1" applyBorder="1" applyAlignment="1" applyProtection="1">
      <alignment vertical="top" wrapText="1"/>
      <protection locked="0"/>
    </xf>
    <xf numFmtId="0" fontId="17" fillId="0" borderId="42" xfId="0" applyFont="1" applyBorder="1" applyAlignment="1" applyProtection="1">
      <alignment vertical="top" wrapText="1"/>
      <protection locked="0"/>
    </xf>
    <xf numFmtId="0" fontId="17" fillId="0" borderId="23" xfId="0" applyFont="1" applyBorder="1" applyAlignment="1" applyProtection="1">
      <alignment vertical="top" wrapText="1"/>
      <protection locked="0"/>
    </xf>
    <xf numFmtId="0" fontId="17" fillId="0" borderId="24" xfId="0" applyFont="1" applyBorder="1" applyAlignment="1" applyProtection="1">
      <alignment vertical="top" wrapText="1"/>
      <protection locked="0"/>
    </xf>
    <xf numFmtId="0" fontId="17" fillId="3" borderId="74" xfId="0" applyFont="1" applyFill="1" applyBorder="1" applyAlignment="1">
      <alignment vertical="center" wrapText="1"/>
    </xf>
    <xf numFmtId="0" fontId="17" fillId="3" borderId="30" xfId="0" applyFont="1" applyFill="1" applyBorder="1" applyAlignment="1">
      <alignment vertical="center" wrapText="1"/>
    </xf>
    <xf numFmtId="0" fontId="17" fillId="3" borderId="53" xfId="0" applyFont="1" applyFill="1" applyBorder="1" applyAlignment="1">
      <alignment vertical="center" wrapText="1"/>
    </xf>
    <xf numFmtId="0" fontId="17" fillId="3" borderId="74" xfId="0" applyFont="1" applyFill="1" applyBorder="1" applyAlignment="1">
      <alignment wrapText="1"/>
    </xf>
    <xf numFmtId="0" fontId="17" fillId="3" borderId="30" xfId="0" applyFont="1" applyFill="1" applyBorder="1" applyAlignment="1">
      <alignment wrapText="1"/>
    </xf>
    <xf numFmtId="0" fontId="17" fillId="3" borderId="53" xfId="0" applyFont="1" applyFill="1" applyBorder="1" applyAlignment="1">
      <alignment wrapText="1"/>
    </xf>
    <xf numFmtId="0" fontId="27" fillId="3" borderId="50" xfId="0" applyFont="1" applyFill="1" applyBorder="1" applyAlignment="1">
      <alignment wrapText="1"/>
    </xf>
    <xf numFmtId="0" fontId="24" fillId="3" borderId="47" xfId="0" applyFont="1" applyFill="1" applyBorder="1" applyAlignment="1">
      <alignment wrapText="1"/>
    </xf>
    <xf numFmtId="0" fontId="24" fillId="3" borderId="49" xfId="0" applyFont="1" applyFill="1" applyBorder="1" applyAlignment="1">
      <alignment wrapText="1"/>
    </xf>
    <xf numFmtId="0" fontId="28" fillId="3" borderId="44" xfId="0" applyFont="1" applyFill="1" applyBorder="1" applyAlignment="1">
      <alignment horizontal="left" vertical="top" wrapText="1"/>
    </xf>
    <xf numFmtId="0" fontId="28" fillId="3" borderId="14" xfId="0" applyFont="1" applyFill="1" applyBorder="1" applyAlignment="1">
      <alignment horizontal="left" vertical="top" wrapText="1"/>
    </xf>
    <xf numFmtId="0" fontId="28" fillId="3" borderId="45" xfId="0" applyFont="1" applyFill="1" applyBorder="1" applyAlignment="1">
      <alignment horizontal="left" vertical="top" wrapText="1"/>
    </xf>
    <xf numFmtId="0" fontId="28" fillId="3" borderId="44" xfId="0" applyFont="1" applyFill="1" applyBorder="1" applyAlignment="1">
      <alignment horizontal="left" vertical="center" wrapText="1" shrinkToFit="1"/>
    </xf>
    <xf numFmtId="0" fontId="28" fillId="3" borderId="14" xfId="0" applyFont="1" applyFill="1" applyBorder="1" applyAlignment="1">
      <alignment horizontal="left" vertical="center" shrinkToFit="1"/>
    </xf>
    <xf numFmtId="0" fontId="28" fillId="3" borderId="45" xfId="0" applyFont="1" applyFill="1" applyBorder="1" applyAlignment="1">
      <alignment horizontal="left" vertical="center" shrinkToFit="1"/>
    </xf>
    <xf numFmtId="0" fontId="18" fillId="3" borderId="44" xfId="0" applyFont="1" applyFill="1" applyBorder="1" applyAlignment="1">
      <alignment horizontal="left" vertical="center" wrapText="1" shrinkToFit="1"/>
    </xf>
    <xf numFmtId="0" fontId="18" fillId="3" borderId="14" xfId="0" applyFont="1" applyFill="1" applyBorder="1" applyAlignment="1">
      <alignment horizontal="left" vertical="center" shrinkToFit="1"/>
    </xf>
    <xf numFmtId="0" fontId="18" fillId="3" borderId="45" xfId="0" applyFont="1" applyFill="1" applyBorder="1" applyAlignment="1">
      <alignment horizontal="left" vertical="center" shrinkToFit="1"/>
    </xf>
    <xf numFmtId="0" fontId="18" fillId="3" borderId="44" xfId="0" applyFont="1" applyFill="1" applyBorder="1" applyAlignment="1">
      <alignment horizontal="left" vertical="top" wrapText="1"/>
    </xf>
    <xf numFmtId="0" fontId="18" fillId="3" borderId="14" xfId="0" applyFont="1" applyFill="1" applyBorder="1" applyAlignment="1">
      <alignment horizontal="left" vertical="top" wrapText="1"/>
    </xf>
    <xf numFmtId="0" fontId="18" fillId="3" borderId="45" xfId="0" applyFont="1" applyFill="1" applyBorder="1" applyAlignment="1">
      <alignment horizontal="left" vertical="top" wrapText="1"/>
    </xf>
    <xf numFmtId="0" fontId="18" fillId="6" borderId="12" xfId="0" applyFont="1" applyFill="1" applyBorder="1" applyAlignment="1" applyProtection="1">
      <alignment vertical="top" wrapText="1"/>
      <protection locked="0"/>
    </xf>
    <xf numFmtId="0" fontId="18" fillId="6" borderId="18" xfId="0" applyFont="1" applyFill="1" applyBorder="1" applyAlignment="1" applyProtection="1">
      <alignment vertical="top" wrapText="1"/>
      <protection locked="0"/>
    </xf>
    <xf numFmtId="49" fontId="18" fillId="6" borderId="35" xfId="0" quotePrefix="1" applyNumberFormat="1" applyFont="1" applyFill="1" applyBorder="1" applyAlignment="1" applyProtection="1">
      <alignment vertical="top" wrapText="1"/>
      <protection locked="0"/>
    </xf>
    <xf numFmtId="49" fontId="18" fillId="6" borderId="37" xfId="0" applyNumberFormat="1" applyFont="1" applyFill="1" applyBorder="1" applyAlignment="1" applyProtection="1">
      <alignment vertical="top" wrapText="1"/>
      <protection locked="0"/>
    </xf>
    <xf numFmtId="186" fontId="37" fillId="3" borderId="47" xfId="0" applyNumberFormat="1" applyFont="1" applyFill="1" applyBorder="1" applyAlignment="1" applyProtection="1">
      <alignment horizontal="left" vertical="center"/>
      <protection hidden="1"/>
    </xf>
    <xf numFmtId="186" fontId="37" fillId="3" borderId="14" xfId="0" applyNumberFormat="1" applyFont="1" applyFill="1" applyBorder="1" applyAlignment="1" applyProtection="1">
      <alignment horizontal="left" vertical="center"/>
      <protection hidden="1"/>
    </xf>
    <xf numFmtId="0" fontId="39" fillId="3" borderId="14" xfId="0" applyFont="1" applyFill="1" applyBorder="1" applyAlignment="1" applyProtection="1">
      <alignment horizontal="left" vertical="top" shrinkToFit="1"/>
      <protection hidden="1"/>
    </xf>
    <xf numFmtId="0" fontId="39" fillId="3" borderId="45" xfId="0" applyFont="1" applyFill="1" applyBorder="1" applyAlignment="1" applyProtection="1">
      <alignment horizontal="left" vertical="top" shrinkToFit="1"/>
      <protection hidden="1"/>
    </xf>
    <xf numFmtId="187" fontId="35" fillId="3" borderId="0" xfId="0" applyNumberFormat="1" applyFont="1" applyFill="1" applyAlignment="1">
      <alignment horizontal="left"/>
    </xf>
    <xf numFmtId="187" fontId="35" fillId="3" borderId="48" xfId="0" applyNumberFormat="1" applyFont="1" applyFill="1" applyBorder="1" applyAlignment="1">
      <alignment horizontal="left"/>
    </xf>
    <xf numFmtId="14" fontId="37" fillId="3" borderId="55" xfId="0" applyNumberFormat="1" applyFont="1" applyFill="1" applyBorder="1" applyAlignment="1" applyProtection="1">
      <alignment horizontal="center" vertical="center"/>
      <protection hidden="1"/>
    </xf>
    <xf numFmtId="14" fontId="37" fillId="3" borderId="6" xfId="0" applyNumberFormat="1" applyFont="1" applyFill="1" applyBorder="1" applyAlignment="1" applyProtection="1">
      <alignment horizontal="center" vertical="center"/>
      <protection hidden="1"/>
    </xf>
    <xf numFmtId="0" fontId="4" fillId="3" borderId="50" xfId="0" applyFont="1" applyFill="1" applyBorder="1" applyAlignment="1">
      <alignment horizontal="center" vertical="center"/>
    </xf>
    <xf numFmtId="0" fontId="6" fillId="3" borderId="96" xfId="0" applyFont="1" applyFill="1" applyBorder="1" applyAlignment="1">
      <alignment horizontal="center" vertical="center"/>
    </xf>
    <xf numFmtId="0" fontId="6" fillId="3" borderId="44" xfId="0" applyFont="1" applyFill="1" applyBorder="1" applyAlignment="1">
      <alignment horizontal="center" vertical="center"/>
    </xf>
    <xf numFmtId="0" fontId="6" fillId="3" borderId="7" xfId="0" applyFont="1" applyFill="1" applyBorder="1" applyAlignment="1">
      <alignment horizontal="center" vertical="center"/>
    </xf>
    <xf numFmtId="0" fontId="18" fillId="4" borderId="50" xfId="0" applyFont="1" applyFill="1" applyBorder="1" applyAlignment="1">
      <alignment horizontal="center" vertical="center" shrinkToFit="1"/>
    </xf>
    <xf numFmtId="0" fontId="18" fillId="4" borderId="47" xfId="0" applyFont="1" applyFill="1" applyBorder="1" applyAlignment="1">
      <alignment horizontal="center" vertical="center" shrinkToFit="1"/>
    </xf>
    <xf numFmtId="0" fontId="18" fillId="4" borderId="96" xfId="0" applyFont="1" applyFill="1" applyBorder="1" applyAlignment="1">
      <alignment horizontal="center" vertical="center" shrinkToFit="1"/>
    </xf>
    <xf numFmtId="0" fontId="18" fillId="4" borderId="38" xfId="0" applyFont="1" applyFill="1" applyBorder="1" applyAlignment="1">
      <alignment horizontal="center" vertical="center" shrinkToFit="1"/>
    </xf>
    <xf numFmtId="0" fontId="18" fillId="4" borderId="29" xfId="0" applyFont="1" applyFill="1" applyBorder="1" applyAlignment="1">
      <alignment horizontal="center" vertical="center" shrinkToFit="1"/>
    </xf>
    <xf numFmtId="0" fontId="18" fillId="4" borderId="36" xfId="0" applyFont="1" applyFill="1" applyBorder="1" applyAlignment="1">
      <alignment horizontal="center" vertical="center" shrinkToFit="1"/>
    </xf>
    <xf numFmtId="0" fontId="15" fillId="4" borderId="87" xfId="0" applyFont="1" applyFill="1" applyBorder="1" applyAlignment="1">
      <alignment horizontal="center" vertical="center" shrinkToFit="1"/>
    </xf>
    <xf numFmtId="0" fontId="15" fillId="4" borderId="19" xfId="0" applyFont="1" applyFill="1" applyBorder="1" applyAlignment="1">
      <alignment horizontal="center" vertical="center" shrinkToFit="1"/>
    </xf>
    <xf numFmtId="0" fontId="18" fillId="4" borderId="87" xfId="0" applyFont="1" applyFill="1" applyBorder="1" applyAlignment="1">
      <alignment horizontal="center" vertical="center" shrinkToFit="1"/>
    </xf>
    <xf numFmtId="0" fontId="18" fillId="4" borderId="19" xfId="0" applyFont="1" applyFill="1" applyBorder="1" applyAlignment="1">
      <alignment horizontal="center" vertical="center" shrinkToFit="1"/>
    </xf>
    <xf numFmtId="0" fontId="18" fillId="0" borderId="15" xfId="0" applyFont="1" applyBorder="1" applyAlignment="1">
      <alignment horizontal="center" vertical="center"/>
    </xf>
    <xf numFmtId="0" fontId="18" fillId="0" borderId="20" xfId="0" applyFont="1" applyBorder="1" applyAlignment="1">
      <alignment horizontal="center" vertical="center"/>
    </xf>
    <xf numFmtId="0" fontId="18" fillId="0" borderId="17" xfId="0" applyFont="1" applyBorder="1" applyAlignment="1">
      <alignment horizontal="center" vertical="center"/>
    </xf>
    <xf numFmtId="0" fontId="18" fillId="0" borderId="55" xfId="0" applyFont="1" applyBorder="1" applyAlignment="1" applyProtection="1">
      <alignment vertical="center" wrapText="1"/>
      <protection locked="0"/>
    </xf>
    <xf numFmtId="0" fontId="18" fillId="0" borderId="96" xfId="0" applyFont="1" applyBorder="1" applyProtection="1">
      <alignment vertical="center"/>
      <protection locked="0"/>
    </xf>
    <xf numFmtId="0" fontId="18" fillId="0" borderId="56" xfId="0" applyFont="1" applyBorder="1" applyProtection="1">
      <alignment vertical="center"/>
      <protection locked="0"/>
    </xf>
    <xf numFmtId="0" fontId="18" fillId="0" borderId="54" xfId="0" applyFont="1" applyBorder="1" applyProtection="1">
      <alignment vertical="center"/>
      <protection locked="0"/>
    </xf>
    <xf numFmtId="0" fontId="18" fillId="0" borderId="57" xfId="0" applyFont="1" applyBorder="1" applyProtection="1">
      <alignment vertical="center"/>
      <protection locked="0"/>
    </xf>
    <xf numFmtId="0" fontId="18" fillId="0" borderId="36" xfId="0" applyFont="1" applyBorder="1" applyProtection="1">
      <alignment vertical="center"/>
      <protection locked="0"/>
    </xf>
    <xf numFmtId="0" fontId="18" fillId="0" borderId="2" xfId="0" applyFont="1" applyBorder="1" applyAlignment="1" applyProtection="1">
      <alignment vertical="top" wrapText="1"/>
      <protection locked="0"/>
    </xf>
    <xf numFmtId="0" fontId="18" fillId="0" borderId="22" xfId="0" applyFont="1" applyBorder="1" applyAlignment="1" applyProtection="1">
      <alignment vertical="top" wrapText="1"/>
      <protection locked="0"/>
    </xf>
    <xf numFmtId="0" fontId="18" fillId="0" borderId="23" xfId="0" applyFont="1" applyBorder="1" applyAlignment="1" applyProtection="1">
      <alignment vertical="top" wrapText="1"/>
      <protection locked="0"/>
    </xf>
    <xf numFmtId="0" fontId="18" fillId="0" borderId="24" xfId="0" applyFont="1" applyBorder="1" applyAlignment="1" applyProtection="1">
      <alignment vertical="top" wrapText="1"/>
      <protection locked="0"/>
    </xf>
    <xf numFmtId="0" fontId="18" fillId="0" borderId="11" xfId="0" applyFont="1" applyBorder="1" applyAlignment="1" applyProtection="1">
      <alignment vertical="top" wrapText="1"/>
      <protection locked="0"/>
    </xf>
    <xf numFmtId="0" fontId="18" fillId="0" borderId="13" xfId="0" applyFont="1" applyBorder="1" applyAlignment="1" applyProtection="1">
      <alignment vertical="top" wrapText="1"/>
      <protection locked="0"/>
    </xf>
    <xf numFmtId="0" fontId="18" fillId="0" borderId="16" xfId="0" applyFont="1" applyBorder="1" applyAlignment="1" applyProtection="1">
      <alignment vertical="top" wrapText="1"/>
      <protection locked="0"/>
    </xf>
    <xf numFmtId="0" fontId="18" fillId="2" borderId="8" xfId="0" applyFont="1" applyFill="1" applyBorder="1" applyAlignment="1">
      <alignment horizontal="center" vertical="center"/>
    </xf>
    <xf numFmtId="0" fontId="18" fillId="2" borderId="9" xfId="0" applyFont="1" applyFill="1" applyBorder="1" applyAlignment="1">
      <alignment horizontal="center" vertical="center"/>
    </xf>
    <xf numFmtId="0" fontId="28" fillId="0" borderId="0" xfId="0" applyFont="1" applyAlignment="1">
      <alignment vertical="top" wrapText="1"/>
    </xf>
    <xf numFmtId="0" fontId="28" fillId="0" borderId="0" xfId="0" applyFont="1" applyAlignment="1">
      <alignment horizontal="left" vertical="top"/>
    </xf>
    <xf numFmtId="0" fontId="28" fillId="0" borderId="55" xfId="0" applyFont="1" applyBorder="1" applyAlignment="1" applyProtection="1">
      <alignment vertical="center" wrapText="1"/>
      <protection locked="0"/>
    </xf>
    <xf numFmtId="0" fontId="28" fillId="0" borderId="96" xfId="0" applyFont="1" applyBorder="1" applyProtection="1">
      <alignment vertical="center"/>
      <protection locked="0"/>
    </xf>
    <xf numFmtId="0" fontId="28" fillId="0" borderId="56" xfId="0" applyFont="1" applyBorder="1" applyProtection="1">
      <alignment vertical="center"/>
      <protection locked="0"/>
    </xf>
    <xf numFmtId="0" fontId="28" fillId="0" borderId="54" xfId="0" applyFont="1" applyBorder="1" applyProtection="1">
      <alignment vertical="center"/>
      <protection locked="0"/>
    </xf>
    <xf numFmtId="0" fontId="28" fillId="0" borderId="57" xfId="0" applyFont="1" applyBorder="1" applyProtection="1">
      <alignment vertical="center"/>
      <protection locked="0"/>
    </xf>
    <xf numFmtId="0" fontId="28" fillId="0" borderId="36" xfId="0" applyFont="1" applyBorder="1" applyProtection="1">
      <alignment vertical="center"/>
      <protection locked="0"/>
    </xf>
    <xf numFmtId="0" fontId="18" fillId="3" borderId="31" xfId="0" applyFont="1" applyFill="1" applyBorder="1" applyAlignment="1">
      <alignment horizontal="center" vertical="top" textRotation="255"/>
    </xf>
    <xf numFmtId="0" fontId="18" fillId="3" borderId="32" xfId="0" applyFont="1" applyFill="1" applyBorder="1" applyAlignment="1">
      <alignment horizontal="center" vertical="top" textRotation="255"/>
    </xf>
    <xf numFmtId="0" fontId="18" fillId="3" borderId="33" xfId="0" applyFont="1" applyFill="1" applyBorder="1" applyAlignment="1">
      <alignment horizontal="center" vertical="top" textRotation="255"/>
    </xf>
    <xf numFmtId="0" fontId="18" fillId="0" borderId="51" xfId="0" applyFont="1" applyBorder="1" applyAlignment="1">
      <alignment horizontal="center" vertical="center"/>
    </xf>
    <xf numFmtId="0" fontId="20" fillId="2" borderId="0" xfId="0" applyFont="1" applyFill="1">
      <alignment vertical="center"/>
    </xf>
    <xf numFmtId="0" fontId="28" fillId="0" borderId="0" xfId="0" applyFont="1" applyAlignment="1">
      <alignment vertical="top" shrinkToFit="1"/>
    </xf>
    <xf numFmtId="0" fontId="28" fillId="0" borderId="0" xfId="0" applyFont="1" applyAlignment="1">
      <alignment vertical="top" wrapText="1" shrinkToFit="1"/>
    </xf>
    <xf numFmtId="0" fontId="18" fillId="3" borderId="74" xfId="0" applyFont="1" applyFill="1" applyBorder="1" applyAlignment="1">
      <alignment shrinkToFit="1"/>
    </xf>
    <xf numFmtId="0" fontId="18" fillId="3" borderId="30" xfId="0" applyFont="1" applyFill="1" applyBorder="1" applyAlignment="1">
      <alignment wrapText="1" shrinkToFit="1"/>
    </xf>
    <xf numFmtId="0" fontId="18" fillId="3" borderId="5" xfId="0" applyFont="1" applyFill="1" applyBorder="1" applyAlignment="1">
      <alignment wrapText="1" shrinkToFit="1"/>
    </xf>
    <xf numFmtId="0" fontId="18" fillId="3" borderId="50" xfId="0" applyFont="1" applyFill="1" applyBorder="1" applyAlignment="1">
      <alignment wrapText="1" shrinkToFit="1"/>
    </xf>
    <xf numFmtId="0" fontId="18" fillId="3" borderId="47" xfId="0" applyFont="1" applyFill="1" applyBorder="1" applyAlignment="1">
      <alignment wrapText="1" shrinkToFit="1"/>
    </xf>
    <xf numFmtId="0" fontId="18" fillId="3" borderId="96" xfId="0" applyFont="1" applyFill="1" applyBorder="1" applyAlignment="1">
      <alignment wrapText="1" shrinkToFit="1"/>
    </xf>
    <xf numFmtId="0" fontId="19" fillId="3" borderId="44" xfId="0" applyFont="1" applyFill="1" applyBorder="1" applyAlignment="1">
      <alignment vertical="top" shrinkToFit="1"/>
    </xf>
    <xf numFmtId="0" fontId="19" fillId="3" borderId="14" xfId="0" applyFont="1" applyFill="1" applyBorder="1" applyAlignment="1">
      <alignment vertical="top" shrinkToFit="1"/>
    </xf>
    <xf numFmtId="0" fontId="19" fillId="3" borderId="7" xfId="0" applyFont="1" applyFill="1" applyBorder="1" applyAlignment="1">
      <alignment vertical="top" shrinkToFit="1"/>
    </xf>
    <xf numFmtId="0" fontId="19" fillId="3" borderId="58" xfId="0" applyFont="1" applyFill="1" applyBorder="1" applyAlignment="1">
      <alignment vertical="top" shrinkToFit="1"/>
    </xf>
    <xf numFmtId="0" fontId="18" fillId="3" borderId="74" xfId="0" applyFont="1" applyFill="1" applyBorder="1" applyAlignment="1">
      <alignment vertical="center" shrinkToFit="1"/>
    </xf>
    <xf numFmtId="0" fontId="18" fillId="3" borderId="30" xfId="0" applyFont="1" applyFill="1" applyBorder="1" applyAlignment="1">
      <alignment vertical="center" shrinkToFit="1"/>
    </xf>
    <xf numFmtId="0" fontId="18" fillId="3" borderId="5" xfId="0" applyFont="1" applyFill="1" applyBorder="1" applyAlignment="1">
      <alignment vertical="center" shrinkToFit="1"/>
    </xf>
    <xf numFmtId="0" fontId="18" fillId="3" borderId="38" xfId="0" applyFont="1" applyFill="1" applyBorder="1" applyAlignment="1">
      <alignment vertical="center" shrinkToFit="1"/>
    </xf>
    <xf numFmtId="0" fontId="18" fillId="3" borderId="29" xfId="0" applyFont="1" applyFill="1" applyBorder="1" applyAlignment="1">
      <alignment vertical="center" shrinkToFit="1"/>
    </xf>
    <xf numFmtId="0" fontId="18" fillId="3" borderId="36" xfId="0" applyFont="1" applyFill="1" applyBorder="1" applyAlignment="1">
      <alignment vertical="center" shrinkToFit="1"/>
    </xf>
    <xf numFmtId="0" fontId="18" fillId="3" borderId="50" xfId="0" applyFont="1" applyFill="1" applyBorder="1" applyAlignment="1">
      <alignment vertical="center" wrapText="1"/>
    </xf>
    <xf numFmtId="0" fontId="18" fillId="3" borderId="58" xfId="0" applyFont="1" applyFill="1" applyBorder="1" applyAlignment="1">
      <alignment vertical="center" wrapText="1"/>
    </xf>
    <xf numFmtId="0" fontId="18" fillId="3" borderId="38" xfId="0" applyFont="1" applyFill="1" applyBorder="1" applyAlignment="1">
      <alignment vertical="center" wrapText="1"/>
    </xf>
    <xf numFmtId="0" fontId="25" fillId="3" borderId="64" xfId="0" applyFont="1" applyFill="1" applyBorder="1" applyAlignment="1">
      <alignment horizontal="left" vertical="top" wrapText="1"/>
    </xf>
    <xf numFmtId="0" fontId="25" fillId="3" borderId="40" xfId="0" applyFont="1" applyFill="1" applyBorder="1" applyAlignment="1">
      <alignment horizontal="left" vertical="top" wrapText="1"/>
    </xf>
    <xf numFmtId="0" fontId="25" fillId="3" borderId="4" xfId="0" applyFont="1" applyFill="1" applyBorder="1" applyAlignment="1">
      <alignment vertical="center" wrapText="1"/>
    </xf>
    <xf numFmtId="0" fontId="25" fillId="3" borderId="13" xfId="0" applyFont="1" applyFill="1" applyBorder="1">
      <alignment vertical="center"/>
    </xf>
    <xf numFmtId="0" fontId="25" fillId="3" borderId="131" xfId="0" applyFont="1" applyFill="1" applyBorder="1">
      <alignment vertical="center"/>
    </xf>
    <xf numFmtId="0" fontId="18" fillId="3" borderId="43" xfId="0" applyFont="1" applyFill="1" applyBorder="1" applyAlignment="1">
      <alignment vertical="center" wrapText="1"/>
    </xf>
    <xf numFmtId="0" fontId="18" fillId="3" borderId="4" xfId="0" applyFont="1" applyFill="1" applyBorder="1" applyAlignment="1">
      <alignment vertical="center" wrapText="1"/>
    </xf>
    <xf numFmtId="188" fontId="15" fillId="6" borderId="134" xfId="1" applyNumberFormat="1" applyFont="1" applyFill="1" applyBorder="1" applyAlignment="1" applyProtection="1">
      <alignment vertical="center" shrinkToFit="1"/>
    </xf>
    <xf numFmtId="188" fontId="15" fillId="6" borderId="133" xfId="1" applyNumberFormat="1" applyFont="1" applyFill="1" applyBorder="1" applyAlignment="1" applyProtection="1">
      <alignment vertical="center" shrinkToFit="1"/>
    </xf>
    <xf numFmtId="188" fontId="15" fillId="6" borderId="135" xfId="1" applyNumberFormat="1" applyFont="1" applyFill="1" applyBorder="1" applyAlignment="1" applyProtection="1">
      <alignment vertical="center" shrinkToFit="1"/>
    </xf>
    <xf numFmtId="0" fontId="18" fillId="3" borderId="11" xfId="0" applyFont="1" applyFill="1" applyBorder="1" applyAlignment="1">
      <alignment vertical="center" wrapText="1"/>
    </xf>
    <xf numFmtId="0" fontId="18" fillId="3" borderId="13" xfId="0" applyFont="1" applyFill="1" applyBorder="1" applyAlignment="1">
      <alignment vertical="center" wrapText="1"/>
    </xf>
    <xf numFmtId="0" fontId="18" fillId="3" borderId="131" xfId="0" applyFont="1" applyFill="1" applyBorder="1" applyAlignment="1">
      <alignment vertical="center" wrapText="1"/>
    </xf>
    <xf numFmtId="0" fontId="17" fillId="3" borderId="68" xfId="0" applyFont="1" applyFill="1" applyBorder="1" applyAlignment="1">
      <alignment vertical="center" wrapText="1"/>
    </xf>
    <xf numFmtId="0" fontId="17" fillId="3" borderId="5" xfId="0" applyFont="1" applyFill="1" applyBorder="1" applyAlignment="1">
      <alignment vertical="center" wrapText="1"/>
    </xf>
    <xf numFmtId="0" fontId="17" fillId="3" borderId="57" xfId="0" applyFont="1" applyFill="1" applyBorder="1" applyAlignment="1">
      <alignment vertical="center" wrapText="1"/>
    </xf>
    <xf numFmtId="0" fontId="17" fillId="3" borderId="36" xfId="0" applyFont="1" applyFill="1" applyBorder="1" applyAlignment="1">
      <alignment vertical="center" wrapText="1"/>
    </xf>
    <xf numFmtId="0" fontId="18" fillId="3" borderId="6" xfId="0" applyFont="1" applyFill="1" applyBorder="1" applyAlignment="1">
      <alignment vertical="center" wrapText="1"/>
    </xf>
    <xf numFmtId="0" fontId="18" fillId="3" borderId="14" xfId="0" applyFont="1" applyFill="1" applyBorder="1" applyAlignment="1">
      <alignment vertical="center" wrapText="1"/>
    </xf>
    <xf numFmtId="0" fontId="18" fillId="3" borderId="136" xfId="0" applyFont="1" applyFill="1" applyBorder="1" applyAlignment="1">
      <alignment vertical="center" wrapText="1"/>
    </xf>
    <xf numFmtId="0" fontId="18" fillId="3" borderId="42" xfId="0" applyFont="1" applyFill="1" applyBorder="1" applyAlignment="1">
      <alignment vertical="center" wrapText="1"/>
    </xf>
    <xf numFmtId="0" fontId="18" fillId="3" borderId="23" xfId="0" applyFont="1" applyFill="1" applyBorder="1" applyAlignment="1">
      <alignment vertical="center" wrapText="1"/>
    </xf>
    <xf numFmtId="0" fontId="18" fillId="3" borderId="24" xfId="0" applyFont="1" applyFill="1" applyBorder="1" applyAlignment="1">
      <alignment vertical="center" wrapText="1"/>
    </xf>
    <xf numFmtId="0" fontId="18" fillId="3" borderId="21" xfId="0" applyFont="1" applyFill="1" applyBorder="1" applyAlignment="1">
      <alignment vertical="center" wrapText="1"/>
    </xf>
    <xf numFmtId="0" fontId="18" fillId="2" borderId="59" xfId="0" applyFont="1" applyFill="1" applyBorder="1" applyAlignment="1">
      <alignment horizontal="center" vertical="center"/>
    </xf>
    <xf numFmtId="0" fontId="18" fillId="2" borderId="10" xfId="0" applyFont="1" applyFill="1" applyBorder="1" applyAlignment="1">
      <alignment horizontal="center" vertical="center"/>
    </xf>
    <xf numFmtId="0" fontId="18" fillId="3" borderId="41" xfId="0" applyFont="1" applyFill="1" applyBorder="1" applyAlignment="1">
      <alignment vertical="center" wrapText="1"/>
    </xf>
    <xf numFmtId="0" fontId="18" fillId="3" borderId="16" xfId="0" applyFont="1" applyFill="1" applyBorder="1" applyAlignment="1">
      <alignment vertical="center" wrapText="1"/>
    </xf>
    <xf numFmtId="0" fontId="0" fillId="6" borderId="116" xfId="0" applyFill="1" applyBorder="1" applyAlignment="1" applyProtection="1">
      <alignment horizontal="center" vertical="center"/>
      <protection locked="0"/>
    </xf>
    <xf numFmtId="0" fontId="0" fillId="6" borderId="117" xfId="0" applyFill="1" applyBorder="1" applyAlignment="1" applyProtection="1">
      <alignment horizontal="center" vertical="center"/>
      <protection locked="0"/>
    </xf>
    <xf numFmtId="0" fontId="0" fillId="6" borderId="118" xfId="0" applyFill="1" applyBorder="1" applyAlignment="1" applyProtection="1">
      <alignment horizontal="center" vertical="center"/>
      <protection locked="0"/>
    </xf>
    <xf numFmtId="0" fontId="0" fillId="6" borderId="119" xfId="0" applyFill="1" applyBorder="1" applyAlignment="1" applyProtection="1">
      <alignment horizontal="center" vertical="center"/>
      <protection locked="0"/>
    </xf>
    <xf numFmtId="0" fontId="0" fillId="6" borderId="120" xfId="0" applyFill="1" applyBorder="1" applyAlignment="1" applyProtection="1">
      <alignment horizontal="center" vertical="center"/>
      <protection locked="0"/>
    </xf>
    <xf numFmtId="0" fontId="0" fillId="6" borderId="121" xfId="0" applyFill="1" applyBorder="1" applyAlignment="1" applyProtection="1">
      <alignment horizontal="center" vertical="center"/>
      <protection locked="0"/>
    </xf>
    <xf numFmtId="38" fontId="15" fillId="6" borderId="122" xfId="1" applyFont="1" applyFill="1" applyBorder="1" applyAlignment="1">
      <alignment horizontal="center" vertical="center" wrapText="1"/>
    </xf>
    <xf numFmtId="38" fontId="15" fillId="6" borderId="123" xfId="1" applyFont="1" applyFill="1" applyBorder="1" applyAlignment="1">
      <alignment horizontal="center" vertical="center" wrapText="1"/>
    </xf>
    <xf numFmtId="38" fontId="15" fillId="6" borderId="124" xfId="1" applyFont="1" applyFill="1" applyBorder="1" applyAlignment="1">
      <alignment horizontal="center" vertical="center" wrapText="1"/>
    </xf>
    <xf numFmtId="38" fontId="15" fillId="6" borderId="125" xfId="1" applyFont="1" applyFill="1" applyBorder="1" applyAlignment="1">
      <alignment horizontal="center" vertical="center" wrapText="1"/>
    </xf>
    <xf numFmtId="38" fontId="15" fillId="6" borderId="126" xfId="1" applyFont="1" applyFill="1" applyBorder="1" applyAlignment="1">
      <alignment horizontal="center" vertical="center" wrapText="1"/>
    </xf>
    <xf numFmtId="38" fontId="15" fillId="6" borderId="127" xfId="1" applyFont="1" applyFill="1" applyBorder="1" applyAlignment="1">
      <alignment horizontal="center" vertical="center" wrapText="1"/>
    </xf>
    <xf numFmtId="0" fontId="18" fillId="3" borderId="31" xfId="0" applyFont="1" applyFill="1" applyBorder="1" applyAlignment="1">
      <alignment vertical="center" textRotation="255"/>
    </xf>
    <xf numFmtId="0" fontId="18" fillId="3" borderId="32" xfId="0" applyFont="1" applyFill="1" applyBorder="1" applyAlignment="1">
      <alignment vertical="center" textRotation="255"/>
    </xf>
    <xf numFmtId="0" fontId="18" fillId="3" borderId="31" xfId="0" applyFont="1" applyFill="1" applyBorder="1" applyAlignment="1">
      <alignment vertical="center" wrapText="1" shrinkToFit="1"/>
    </xf>
    <xf numFmtId="0" fontId="18" fillId="3" borderId="32" xfId="0" applyFont="1" applyFill="1" applyBorder="1" applyAlignment="1">
      <alignment vertical="center" shrinkToFit="1"/>
    </xf>
    <xf numFmtId="0" fontId="18" fillId="3" borderId="33" xfId="0" applyFont="1" applyFill="1" applyBorder="1" applyAlignment="1">
      <alignment vertical="center" shrinkToFit="1"/>
    </xf>
    <xf numFmtId="188" fontId="15" fillId="6" borderId="56" xfId="1" applyNumberFormat="1" applyFont="1" applyFill="1" applyBorder="1" applyAlignment="1" applyProtection="1">
      <alignment vertical="center" shrinkToFit="1"/>
    </xf>
    <xf numFmtId="188" fontId="15" fillId="6" borderId="57" xfId="1" applyNumberFormat="1" applyFont="1" applyFill="1" applyBorder="1" applyAlignment="1" applyProtection="1">
      <alignment vertical="center" shrinkToFit="1"/>
    </xf>
    <xf numFmtId="177" fontId="15" fillId="6" borderId="102" xfId="0" applyNumberFormat="1" applyFont="1" applyFill="1" applyBorder="1" applyAlignment="1">
      <alignment horizontal="center" vertical="center"/>
    </xf>
    <xf numFmtId="0" fontId="18" fillId="3" borderId="31" xfId="0" applyFont="1" applyFill="1" applyBorder="1" applyAlignment="1">
      <alignment vertical="center" shrinkToFit="1"/>
    </xf>
    <xf numFmtId="0" fontId="18" fillId="3" borderId="31" xfId="0" applyFont="1" applyFill="1" applyBorder="1" applyAlignment="1">
      <alignment horizontal="left" vertical="center" wrapText="1" shrinkToFit="1"/>
    </xf>
    <xf numFmtId="0" fontId="18" fillId="3" borderId="32" xfId="0" applyFont="1" applyFill="1" applyBorder="1" applyAlignment="1">
      <alignment horizontal="left" vertical="center" shrinkToFit="1"/>
    </xf>
    <xf numFmtId="0" fontId="18" fillId="3" borderId="33" xfId="0" applyFont="1" applyFill="1" applyBorder="1" applyAlignment="1">
      <alignment horizontal="left" vertical="center" shrinkToFit="1"/>
    </xf>
    <xf numFmtId="0" fontId="18" fillId="3" borderId="74" xfId="0" applyFont="1" applyFill="1" applyBorder="1" applyAlignment="1">
      <alignment horizontal="left" vertical="top" wrapText="1"/>
    </xf>
    <xf numFmtId="0" fontId="18" fillId="3" borderId="30" xfId="0" applyFont="1" applyFill="1" applyBorder="1" applyAlignment="1">
      <alignment horizontal="left" vertical="top" wrapText="1"/>
    </xf>
    <xf numFmtId="0" fontId="18" fillId="3" borderId="5" xfId="0" applyFont="1" applyFill="1" applyBorder="1" applyAlignment="1">
      <alignment horizontal="left" vertical="top" wrapText="1"/>
    </xf>
    <xf numFmtId="0" fontId="18" fillId="3" borderId="58" xfId="0" applyFont="1" applyFill="1" applyBorder="1" applyAlignment="1">
      <alignment horizontal="left" vertical="top" wrapText="1"/>
    </xf>
    <xf numFmtId="0" fontId="18" fillId="3" borderId="0" xfId="0" applyFont="1" applyFill="1" applyAlignment="1">
      <alignment horizontal="left" vertical="top" wrapText="1"/>
    </xf>
    <xf numFmtId="0" fontId="18" fillId="3" borderId="54" xfId="0" applyFont="1" applyFill="1" applyBorder="1" applyAlignment="1">
      <alignment horizontal="left" vertical="top" wrapText="1"/>
    </xf>
    <xf numFmtId="0" fontId="18" fillId="3" borderId="38" xfId="0" applyFont="1" applyFill="1" applyBorder="1" applyAlignment="1">
      <alignment horizontal="left" vertical="top" wrapText="1"/>
    </xf>
    <xf numFmtId="0" fontId="18" fillId="3" borderId="29" xfId="0" applyFont="1" applyFill="1" applyBorder="1" applyAlignment="1">
      <alignment horizontal="left" vertical="top" wrapText="1"/>
    </xf>
    <xf numFmtId="0" fontId="18" fillId="3" borderId="36" xfId="0" applyFont="1" applyFill="1" applyBorder="1" applyAlignment="1">
      <alignment horizontal="left" vertical="top" wrapText="1"/>
    </xf>
    <xf numFmtId="188" fontId="15" fillId="0" borderId="144" xfId="1" applyNumberFormat="1" applyFont="1" applyFill="1" applyBorder="1" applyAlignment="1" applyProtection="1">
      <alignment vertical="center" shrinkToFit="1"/>
      <protection locked="0"/>
    </xf>
    <xf numFmtId="188" fontId="15" fillId="0" borderId="137" xfId="1" applyNumberFormat="1" applyFont="1" applyFill="1" applyBorder="1" applyAlignment="1" applyProtection="1">
      <alignment vertical="center" shrinkToFit="1"/>
      <protection locked="0"/>
    </xf>
    <xf numFmtId="191" fontId="27" fillId="0" borderId="50" xfId="0" applyNumberFormat="1" applyFont="1" applyBorder="1" applyAlignment="1" applyProtection="1">
      <alignment horizontal="left" vertical="top" wrapText="1"/>
      <protection locked="0"/>
    </xf>
    <xf numFmtId="191" fontId="27" fillId="0" borderId="47" xfId="0" applyNumberFormat="1" applyFont="1" applyBorder="1" applyAlignment="1" applyProtection="1">
      <alignment horizontal="left" vertical="top" wrapText="1"/>
      <protection locked="0"/>
    </xf>
    <xf numFmtId="191" fontId="27" fillId="0" borderId="49" xfId="0" applyNumberFormat="1" applyFont="1" applyBorder="1" applyAlignment="1" applyProtection="1">
      <alignment horizontal="left" vertical="top" wrapText="1"/>
      <protection locked="0"/>
    </xf>
    <xf numFmtId="191" fontId="27" fillId="0" borderId="58" xfId="0" applyNumberFormat="1" applyFont="1" applyBorder="1" applyAlignment="1" applyProtection="1">
      <alignment horizontal="left" vertical="top" wrapText="1"/>
      <protection locked="0"/>
    </xf>
    <xf numFmtId="191" fontId="27" fillId="0" borderId="0" xfId="0" applyNumberFormat="1" applyFont="1" applyAlignment="1" applyProtection="1">
      <alignment horizontal="left" vertical="top" wrapText="1"/>
      <protection locked="0"/>
    </xf>
    <xf numFmtId="191" fontId="27" fillId="0" borderId="48" xfId="0" applyNumberFormat="1" applyFont="1" applyBorder="1" applyAlignment="1" applyProtection="1">
      <alignment horizontal="left" vertical="top" wrapText="1"/>
      <protection locked="0"/>
    </xf>
    <xf numFmtId="191" fontId="27" fillId="0" borderId="38" xfId="0" applyNumberFormat="1" applyFont="1" applyBorder="1" applyAlignment="1" applyProtection="1">
      <alignment horizontal="left" vertical="top" wrapText="1"/>
      <protection locked="0"/>
    </xf>
    <xf numFmtId="191" fontId="27" fillId="0" borderId="29" xfId="0" applyNumberFormat="1" applyFont="1" applyBorder="1" applyAlignment="1" applyProtection="1">
      <alignment horizontal="left" vertical="top" wrapText="1"/>
      <protection locked="0"/>
    </xf>
    <xf numFmtId="191" fontId="27" fillId="0" borderId="39" xfId="0" applyNumberFormat="1" applyFont="1" applyBorder="1" applyAlignment="1" applyProtection="1">
      <alignment horizontal="left" vertical="top" wrapText="1"/>
      <protection locked="0"/>
    </xf>
    <xf numFmtId="0" fontId="28" fillId="3" borderId="38" xfId="0" applyFont="1" applyFill="1" applyBorder="1" applyAlignment="1" applyProtection="1">
      <alignment horizontal="left" vertical="top" shrinkToFit="1"/>
      <protection hidden="1"/>
    </xf>
    <xf numFmtId="0" fontId="28" fillId="3" borderId="29" xfId="0" applyFont="1" applyFill="1" applyBorder="1" applyAlignment="1" applyProtection="1">
      <alignment horizontal="left" vertical="top" shrinkToFit="1"/>
      <protection hidden="1"/>
    </xf>
    <xf numFmtId="0" fontId="28" fillId="3" borderId="39" xfId="0" applyFont="1" applyFill="1" applyBorder="1" applyAlignment="1" applyProtection="1">
      <alignment horizontal="left" vertical="top" shrinkToFit="1"/>
      <protection hidden="1"/>
    </xf>
    <xf numFmtId="0" fontId="27" fillId="3" borderId="50" xfId="0" applyFont="1" applyFill="1" applyBorder="1" applyAlignment="1" applyProtection="1">
      <alignment horizontal="left" wrapText="1"/>
      <protection hidden="1"/>
    </xf>
    <xf numFmtId="0" fontId="27" fillId="3" borderId="47" xfId="0" applyFont="1" applyFill="1" applyBorder="1" applyAlignment="1" applyProtection="1">
      <alignment horizontal="left" wrapText="1"/>
      <protection hidden="1"/>
    </xf>
    <xf numFmtId="0" fontId="27" fillId="3" borderId="49" xfId="0" applyFont="1" applyFill="1" applyBorder="1" applyAlignment="1" applyProtection="1">
      <alignment horizontal="left" wrapText="1"/>
      <protection hidden="1"/>
    </xf>
    <xf numFmtId="188" fontId="18" fillId="6" borderId="65" xfId="0" applyNumberFormat="1" applyFont="1" applyFill="1" applyBorder="1" applyProtection="1">
      <alignment vertical="center"/>
      <protection hidden="1"/>
    </xf>
    <xf numFmtId="188" fontId="18" fillId="6" borderId="143" xfId="0" applyNumberFormat="1" applyFont="1" applyFill="1" applyBorder="1" applyProtection="1">
      <alignment vertical="center"/>
      <protection hidden="1"/>
    </xf>
    <xf numFmtId="0" fontId="18" fillId="6" borderId="77" xfId="0" applyFont="1" applyFill="1" applyBorder="1" applyProtection="1">
      <alignment vertical="center"/>
      <protection hidden="1"/>
    </xf>
    <xf numFmtId="0" fontId="28" fillId="0" borderId="41" xfId="0" applyFont="1" applyBorder="1" applyAlignment="1" applyProtection="1">
      <alignment vertical="center" wrapText="1"/>
      <protection locked="0"/>
    </xf>
    <xf numFmtId="0" fontId="28" fillId="0" borderId="13" xfId="0" applyFont="1" applyBorder="1" applyAlignment="1" applyProtection="1">
      <alignment vertical="center" wrapText="1"/>
      <protection locked="0"/>
    </xf>
    <xf numFmtId="0" fontId="28" fillId="3" borderId="31" xfId="0" applyFont="1" applyFill="1" applyBorder="1" applyAlignment="1" applyProtection="1">
      <alignment horizontal="center" vertical="center" textRotation="255"/>
      <protection hidden="1"/>
    </xf>
    <xf numFmtId="0" fontId="28" fillId="3" borderId="32" xfId="0" applyFont="1" applyFill="1" applyBorder="1" applyAlignment="1" applyProtection="1">
      <alignment horizontal="center" vertical="center" textRotation="255"/>
      <protection hidden="1"/>
    </xf>
    <xf numFmtId="0" fontId="28" fillId="3" borderId="33" xfId="0" applyFont="1" applyFill="1" applyBorder="1" applyAlignment="1" applyProtection="1">
      <alignment horizontal="center" vertical="center" textRotation="255"/>
      <protection hidden="1"/>
    </xf>
    <xf numFmtId="0" fontId="28" fillId="0" borderId="42" xfId="0" applyFont="1" applyBorder="1" applyAlignment="1" applyProtection="1">
      <alignment vertical="center" wrapText="1"/>
      <protection locked="0"/>
    </xf>
    <xf numFmtId="0" fontId="28" fillId="0" borderId="43" xfId="0" applyFont="1" applyBorder="1" applyAlignment="1" applyProtection="1">
      <alignment vertical="center" wrapText="1"/>
      <protection locked="0"/>
    </xf>
    <xf numFmtId="0" fontId="33" fillId="0" borderId="53" xfId="1" applyNumberFormat="1" applyFont="1" applyFill="1" applyBorder="1" applyAlignment="1" applyProtection="1">
      <alignment horizontal="left" vertical="center" wrapText="1" shrinkToFit="1"/>
      <protection locked="0"/>
    </xf>
    <xf numFmtId="0" fontId="33" fillId="0" borderId="45" xfId="1" applyNumberFormat="1" applyFont="1" applyFill="1" applyBorder="1" applyAlignment="1" applyProtection="1">
      <alignment horizontal="left" vertical="center" wrapText="1" shrinkToFit="1"/>
      <protection locked="0"/>
    </xf>
    <xf numFmtId="188" fontId="15" fillId="6" borderId="68" xfId="1" applyNumberFormat="1" applyFont="1" applyFill="1" applyBorder="1" applyAlignment="1" applyProtection="1">
      <alignment vertical="center" shrinkToFit="1"/>
    </xf>
    <xf numFmtId="188" fontId="15" fillId="6" borderId="67" xfId="1" applyNumberFormat="1" applyFont="1" applyFill="1" applyBorder="1" applyAlignment="1" applyProtection="1">
      <alignment vertical="center" shrinkToFit="1"/>
    </xf>
    <xf numFmtId="188" fontId="15" fillId="6" borderId="66" xfId="1" applyNumberFormat="1" applyFont="1" applyFill="1" applyBorder="1" applyAlignment="1" applyProtection="1">
      <alignment vertical="center" shrinkToFit="1"/>
    </xf>
    <xf numFmtId="188" fontId="15" fillId="6" borderId="19" xfId="1" applyNumberFormat="1" applyFont="1" applyFill="1" applyBorder="1" applyAlignment="1" applyProtection="1">
      <alignment vertical="center" shrinkToFit="1"/>
    </xf>
    <xf numFmtId="0" fontId="19" fillId="6" borderId="5" xfId="0" applyFont="1" applyFill="1" applyBorder="1" applyAlignment="1">
      <alignment horizontal="center" vertical="center"/>
    </xf>
    <xf numFmtId="0" fontId="19" fillId="6" borderId="7" xfId="0" applyFont="1" applyFill="1" applyBorder="1" applyAlignment="1">
      <alignment horizontal="center" vertical="center"/>
    </xf>
    <xf numFmtId="188" fontId="15" fillId="0" borderId="113" xfId="1" applyNumberFormat="1" applyFont="1" applyFill="1" applyBorder="1" applyAlignment="1" applyProtection="1">
      <alignment vertical="center" shrinkToFit="1"/>
      <protection locked="0"/>
    </xf>
    <xf numFmtId="188" fontId="15" fillId="0" borderId="112" xfId="1" applyNumberFormat="1" applyFont="1" applyFill="1" applyBorder="1" applyAlignment="1" applyProtection="1">
      <alignment vertical="center" shrinkToFit="1"/>
      <protection locked="0"/>
    </xf>
    <xf numFmtId="0" fontId="18" fillId="3" borderId="42" xfId="0" applyFont="1" applyFill="1" applyBorder="1" applyAlignment="1">
      <alignment vertical="center" shrinkToFit="1"/>
    </xf>
    <xf numFmtId="0" fontId="18" fillId="3" borderId="23" xfId="0" applyFont="1" applyFill="1" applyBorder="1" applyAlignment="1">
      <alignment vertical="center" shrinkToFit="1"/>
    </xf>
    <xf numFmtId="0" fontId="18" fillId="3" borderId="43" xfId="0" applyFont="1" applyFill="1" applyBorder="1" applyAlignment="1">
      <alignment vertical="center" shrinkToFit="1"/>
    </xf>
    <xf numFmtId="0" fontId="18" fillId="3" borderId="4" xfId="0" applyFont="1" applyFill="1" applyBorder="1" applyAlignment="1">
      <alignment vertical="center" shrinkToFit="1"/>
    </xf>
    <xf numFmtId="189" fontId="53" fillId="6" borderId="79" xfId="0" applyNumberFormat="1" applyFont="1" applyFill="1" applyBorder="1" applyAlignment="1">
      <alignment horizontal="center" vertical="center" wrapText="1"/>
    </xf>
    <xf numFmtId="189" fontId="53" fillId="6" borderId="80" xfId="0" applyNumberFormat="1" applyFont="1" applyFill="1" applyBorder="1" applyAlignment="1">
      <alignment horizontal="center" vertical="center" wrapText="1"/>
    </xf>
    <xf numFmtId="38" fontId="19" fillId="6" borderId="59" xfId="1" applyFont="1" applyFill="1" applyBorder="1" applyAlignment="1">
      <alignment horizontal="center" vertical="center" wrapText="1"/>
    </xf>
    <xf numFmtId="38" fontId="19" fillId="6" borderId="8" xfId="1" applyFont="1" applyFill="1" applyBorder="1" applyAlignment="1">
      <alignment horizontal="center" vertical="center" wrapText="1"/>
    </xf>
    <xf numFmtId="181" fontId="19" fillId="6" borderId="10" xfId="1" applyNumberFormat="1" applyFont="1" applyFill="1" applyBorder="1" applyAlignment="1" applyProtection="1">
      <alignment horizontal="left" vertical="center" wrapText="1" indent="1"/>
      <protection hidden="1"/>
    </xf>
    <xf numFmtId="181" fontId="19" fillId="6" borderId="59" xfId="1" applyNumberFormat="1" applyFont="1" applyFill="1" applyBorder="1" applyAlignment="1" applyProtection="1">
      <alignment horizontal="left" vertical="center" wrapText="1" indent="1"/>
      <protection hidden="1"/>
    </xf>
    <xf numFmtId="0" fontId="19" fillId="3" borderId="78" xfId="0" applyFont="1" applyFill="1" applyBorder="1" applyAlignment="1">
      <alignment horizontal="center" vertical="center" wrapText="1"/>
    </xf>
    <xf numFmtId="0" fontId="19" fillId="3" borderId="81" xfId="0" applyFont="1" applyFill="1" applyBorder="1" applyAlignment="1">
      <alignment horizontal="center" vertical="center" wrapText="1"/>
    </xf>
    <xf numFmtId="0" fontId="18" fillId="3" borderId="8" xfId="0" applyFont="1" applyFill="1" applyBorder="1" applyAlignment="1">
      <alignment horizontal="center" vertical="center"/>
    </xf>
    <xf numFmtId="0" fontId="18" fillId="3" borderId="9" xfId="0" applyFont="1" applyFill="1" applyBorder="1" applyAlignment="1">
      <alignment horizontal="center" vertical="center"/>
    </xf>
    <xf numFmtId="0" fontId="18" fillId="3" borderId="10" xfId="0" applyFont="1" applyFill="1" applyBorder="1" applyAlignment="1">
      <alignment horizontal="center" vertical="center"/>
    </xf>
    <xf numFmtId="0" fontId="17" fillId="3" borderId="8" xfId="0" applyFont="1" applyFill="1" applyBorder="1" applyAlignment="1">
      <alignment horizontal="center" vertical="center" wrapText="1"/>
    </xf>
    <xf numFmtId="0" fontId="17" fillId="3" borderId="9" xfId="0" applyFont="1" applyFill="1" applyBorder="1" applyAlignment="1">
      <alignment horizontal="center" vertical="center" wrapText="1"/>
    </xf>
    <xf numFmtId="0" fontId="18" fillId="3" borderId="47" xfId="0" applyFont="1" applyFill="1" applyBorder="1" applyAlignment="1">
      <alignment vertical="center" shrinkToFit="1"/>
    </xf>
    <xf numFmtId="0" fontId="18" fillId="3" borderId="0" xfId="0" applyFont="1" applyFill="1" applyAlignment="1">
      <alignment vertical="center" shrinkToFit="1"/>
    </xf>
    <xf numFmtId="0" fontId="25" fillId="3" borderId="13" xfId="0" applyFont="1" applyFill="1" applyBorder="1" applyAlignment="1">
      <alignment vertical="center" wrapText="1"/>
    </xf>
    <xf numFmtId="0" fontId="25" fillId="3" borderId="131" xfId="0" applyFont="1" applyFill="1" applyBorder="1" applyAlignment="1">
      <alignment vertical="center" wrapText="1"/>
    </xf>
    <xf numFmtId="0" fontId="18" fillId="3" borderId="132" xfId="0" applyFont="1" applyFill="1" applyBorder="1" applyAlignment="1">
      <alignment vertical="center" wrapText="1"/>
    </xf>
    <xf numFmtId="0" fontId="18" fillId="6" borderId="119" xfId="0" applyFont="1" applyFill="1" applyBorder="1" applyAlignment="1">
      <alignment horizontal="center" vertical="center"/>
    </xf>
    <xf numFmtId="0" fontId="18" fillId="6" borderId="120" xfId="0" applyFont="1" applyFill="1" applyBorder="1" applyAlignment="1">
      <alignment horizontal="center" vertical="center"/>
    </xf>
    <xf numFmtId="0" fontId="18" fillId="6" borderId="121" xfId="0" applyFont="1" applyFill="1" applyBorder="1" applyAlignment="1">
      <alignment horizontal="center" vertical="center"/>
    </xf>
    <xf numFmtId="0" fontId="18" fillId="6" borderId="128" xfId="0" applyFont="1" applyFill="1" applyBorder="1" applyAlignment="1">
      <alignment horizontal="center" vertical="center"/>
    </xf>
    <xf numFmtId="0" fontId="18" fillId="6" borderId="129" xfId="0" applyFont="1" applyFill="1" applyBorder="1" applyAlignment="1">
      <alignment horizontal="center" vertical="center"/>
    </xf>
    <xf numFmtId="0" fontId="18" fillId="6" borderId="130" xfId="0" applyFont="1" applyFill="1" applyBorder="1" applyAlignment="1">
      <alignment horizontal="center" vertical="center"/>
    </xf>
    <xf numFmtId="0" fontId="28" fillId="3" borderId="58" xfId="0" applyFont="1" applyFill="1" applyBorder="1" applyAlignment="1" applyProtection="1">
      <alignment horizontal="left" vertical="top" wrapText="1" shrinkToFit="1"/>
      <protection hidden="1"/>
    </xf>
    <xf numFmtId="0" fontId="28" fillId="3" borderId="0" xfId="0" applyFont="1" applyFill="1" applyAlignment="1" applyProtection="1">
      <alignment horizontal="left" vertical="top" wrapText="1" shrinkToFit="1"/>
      <protection hidden="1"/>
    </xf>
    <xf numFmtId="0" fontId="28" fillId="3" borderId="48" xfId="0" applyFont="1" applyFill="1" applyBorder="1" applyAlignment="1" applyProtection="1">
      <alignment horizontal="left" vertical="top" wrapText="1" shrinkToFit="1"/>
      <protection hidden="1"/>
    </xf>
    <xf numFmtId="0" fontId="28" fillId="2" borderId="8" xfId="0" applyFont="1" applyFill="1" applyBorder="1" applyAlignment="1" applyProtection="1">
      <alignment horizontal="center" vertical="center" wrapText="1"/>
      <protection hidden="1"/>
    </xf>
    <xf numFmtId="0" fontId="28" fillId="2" borderId="9" xfId="0" applyFont="1" applyFill="1" applyBorder="1" applyAlignment="1" applyProtection="1">
      <alignment horizontal="center" vertical="center" wrapText="1"/>
      <protection hidden="1"/>
    </xf>
    <xf numFmtId="0" fontId="28" fillId="2" borderId="10" xfId="0" applyFont="1" applyFill="1" applyBorder="1" applyAlignment="1" applyProtection="1">
      <alignment horizontal="center" vertical="center" wrapText="1"/>
      <protection hidden="1"/>
    </xf>
    <xf numFmtId="0" fontId="28" fillId="2" borderId="63" xfId="0" applyFont="1" applyFill="1" applyBorder="1" applyAlignment="1" applyProtection="1">
      <alignment horizontal="center" vertical="center" wrapText="1"/>
      <protection hidden="1"/>
    </xf>
    <xf numFmtId="38" fontId="18" fillId="6" borderId="86" xfId="1" applyFont="1" applyFill="1" applyBorder="1" applyAlignment="1" applyProtection="1">
      <alignment horizontal="center" vertical="center"/>
    </xf>
    <xf numFmtId="38" fontId="18" fillId="6" borderId="75" xfId="1" applyFont="1" applyFill="1" applyBorder="1" applyAlignment="1" applyProtection="1">
      <alignment horizontal="center" vertical="center"/>
    </xf>
    <xf numFmtId="0" fontId="17" fillId="3" borderId="50" xfId="0" applyFont="1" applyFill="1" applyBorder="1" applyAlignment="1" applyProtection="1">
      <alignment horizontal="left" vertical="center" wrapText="1"/>
      <protection hidden="1"/>
    </xf>
    <xf numFmtId="0" fontId="17" fillId="3" borderId="47" xfId="0" applyFont="1" applyFill="1" applyBorder="1" applyAlignment="1" applyProtection="1">
      <alignment horizontal="left" vertical="center" wrapText="1"/>
      <protection hidden="1"/>
    </xf>
    <xf numFmtId="0" fontId="17" fillId="3" borderId="49" xfId="0" applyFont="1" applyFill="1" applyBorder="1" applyAlignment="1" applyProtection="1">
      <alignment horizontal="left" vertical="center" wrapText="1"/>
      <protection hidden="1"/>
    </xf>
    <xf numFmtId="0" fontId="28" fillId="3" borderId="50" xfId="0" applyFont="1" applyFill="1" applyBorder="1" applyAlignment="1" applyProtection="1">
      <alignment horizontal="left" vertical="center" wrapText="1" shrinkToFit="1"/>
      <protection hidden="1"/>
    </xf>
    <xf numFmtId="0" fontId="28" fillId="3" borderId="47" xfId="0" applyFont="1" applyFill="1" applyBorder="1" applyAlignment="1" applyProtection="1">
      <alignment horizontal="left" vertical="center" wrapText="1" shrinkToFit="1"/>
      <protection hidden="1"/>
    </xf>
    <xf numFmtId="0" fontId="28" fillId="3" borderId="49" xfId="0" applyFont="1" applyFill="1" applyBorder="1" applyAlignment="1" applyProtection="1">
      <alignment horizontal="left" vertical="center" wrapText="1" shrinkToFit="1"/>
      <protection hidden="1"/>
    </xf>
    <xf numFmtId="0" fontId="28" fillId="3" borderId="58" xfId="0" applyFont="1" applyFill="1" applyBorder="1" applyAlignment="1" applyProtection="1">
      <alignment horizontal="left" vertical="center" wrapText="1" shrinkToFit="1"/>
      <protection hidden="1"/>
    </xf>
    <xf numFmtId="0" fontId="28" fillId="3" borderId="0" xfId="0" applyFont="1" applyFill="1" applyAlignment="1" applyProtection="1">
      <alignment horizontal="left" vertical="center" wrapText="1" shrinkToFit="1"/>
      <protection hidden="1"/>
    </xf>
    <xf numFmtId="0" fontId="28" fillId="3" borderId="48" xfId="0" applyFont="1" applyFill="1" applyBorder="1" applyAlignment="1" applyProtection="1">
      <alignment horizontal="left" vertical="center" wrapText="1" shrinkToFit="1"/>
      <protection hidden="1"/>
    </xf>
    <xf numFmtId="0" fontId="68" fillId="6" borderId="0" xfId="0" applyFont="1" applyFill="1" applyAlignment="1">
      <alignment horizontal="left" vertical="top" wrapText="1"/>
    </xf>
    <xf numFmtId="0" fontId="35" fillId="6" borderId="0" xfId="0" applyFont="1" applyFill="1" applyAlignment="1">
      <alignment horizontal="left" vertical="center" wrapText="1"/>
    </xf>
    <xf numFmtId="0" fontId="81" fillId="10" borderId="50" xfId="0" applyFont="1" applyFill="1" applyBorder="1" applyAlignment="1">
      <alignment horizontal="left" vertical="center" wrapText="1"/>
    </xf>
    <xf numFmtId="0" fontId="82" fillId="10" borderId="47" xfId="0" applyFont="1" applyFill="1" applyBorder="1" applyAlignment="1">
      <alignment horizontal="left" vertical="center" wrapText="1"/>
    </xf>
    <xf numFmtId="0" fontId="82" fillId="10" borderId="49" xfId="0" applyFont="1" applyFill="1" applyBorder="1" applyAlignment="1">
      <alignment horizontal="left" vertical="center" wrapText="1"/>
    </xf>
    <xf numFmtId="0" fontId="28" fillId="9" borderId="8" xfId="0" applyFont="1" applyFill="1" applyBorder="1" applyAlignment="1">
      <alignment horizontal="center" vertical="center" wrapText="1"/>
    </xf>
    <xf numFmtId="0" fontId="28" fillId="9" borderId="9" xfId="0" applyFont="1" applyFill="1" applyBorder="1" applyAlignment="1">
      <alignment horizontal="center" vertical="center" wrapText="1"/>
    </xf>
    <xf numFmtId="0" fontId="28" fillId="9" borderId="10" xfId="0" applyFont="1" applyFill="1" applyBorder="1" applyAlignment="1">
      <alignment horizontal="center" vertical="center" wrapText="1"/>
    </xf>
    <xf numFmtId="0" fontId="28" fillId="9" borderId="63" xfId="0" applyFont="1" applyFill="1" applyBorder="1" applyAlignment="1">
      <alignment horizontal="center" vertical="center" wrapText="1"/>
    </xf>
    <xf numFmtId="0" fontId="18" fillId="9" borderId="8" xfId="0" applyFont="1" applyFill="1" applyBorder="1" applyAlignment="1">
      <alignment horizontal="center" vertical="center" wrapText="1"/>
    </xf>
    <xf numFmtId="0" fontId="18" fillId="9" borderId="10" xfId="0" applyFont="1" applyFill="1" applyBorder="1" applyAlignment="1">
      <alignment horizontal="center" vertical="center" wrapText="1"/>
    </xf>
    <xf numFmtId="0" fontId="18" fillId="6" borderId="31" xfId="0" applyFont="1" applyFill="1" applyBorder="1" applyAlignment="1">
      <alignment horizontal="center" vertical="center" textRotation="255"/>
    </xf>
    <xf numFmtId="0" fontId="18" fillId="6" borderId="32" xfId="0" applyFont="1" applyFill="1" applyBorder="1" applyAlignment="1">
      <alignment horizontal="center" vertical="center" textRotation="255"/>
    </xf>
    <xf numFmtId="0" fontId="18" fillId="6" borderId="33" xfId="0" applyFont="1" applyFill="1" applyBorder="1" applyAlignment="1">
      <alignment horizontal="center" vertical="center" textRotation="255"/>
    </xf>
    <xf numFmtId="0" fontId="18" fillId="6" borderId="50" xfId="0" applyFont="1" applyFill="1" applyBorder="1" applyAlignment="1">
      <alignment horizontal="left" vertical="top"/>
    </xf>
    <xf numFmtId="0" fontId="18" fillId="6" borderId="47" xfId="0" applyFont="1" applyFill="1" applyBorder="1" applyAlignment="1">
      <alignment horizontal="left" vertical="top"/>
    </xf>
    <xf numFmtId="0" fontId="18" fillId="6" borderId="49" xfId="0" applyFont="1" applyFill="1" applyBorder="1" applyAlignment="1">
      <alignment horizontal="left" vertical="top"/>
    </xf>
    <xf numFmtId="0" fontId="18" fillId="6" borderId="58" xfId="0" applyFont="1" applyFill="1" applyBorder="1" applyAlignment="1">
      <alignment horizontal="left" vertical="top"/>
    </xf>
    <xf numFmtId="0" fontId="18" fillId="6" borderId="0" xfId="0" applyFont="1" applyFill="1" applyAlignment="1">
      <alignment horizontal="left" vertical="top"/>
    </xf>
    <xf numFmtId="0" fontId="18" fillId="6" borderId="48" xfId="0" applyFont="1" applyFill="1" applyBorder="1" applyAlignment="1">
      <alignment horizontal="left" vertical="top"/>
    </xf>
    <xf numFmtId="0" fontId="18" fillId="6" borderId="38" xfId="0" applyFont="1" applyFill="1" applyBorder="1" applyAlignment="1">
      <alignment horizontal="left" vertical="top"/>
    </xf>
    <xf numFmtId="0" fontId="18" fillId="6" borderId="29" xfId="0" applyFont="1" applyFill="1" applyBorder="1" applyAlignment="1">
      <alignment horizontal="left" vertical="top"/>
    </xf>
    <xf numFmtId="0" fontId="18" fillId="6" borderId="39" xfId="0" applyFont="1" applyFill="1" applyBorder="1" applyAlignment="1">
      <alignment horizontal="left" vertical="top"/>
    </xf>
    <xf numFmtId="0" fontId="15" fillId="6" borderId="13" xfId="0" applyFont="1" applyFill="1" applyBorder="1" applyAlignment="1">
      <alignment horizontal="left" vertical="center"/>
    </xf>
    <xf numFmtId="0" fontId="15" fillId="6" borderId="34" xfId="0" applyFont="1" applyFill="1" applyBorder="1" applyAlignment="1">
      <alignment horizontal="left" vertical="center"/>
    </xf>
    <xf numFmtId="3" fontId="18" fillId="6" borderId="65" xfId="0" applyNumberFormat="1" applyFont="1" applyFill="1" applyBorder="1" applyAlignment="1">
      <alignment horizontal="right" vertical="center"/>
    </xf>
    <xf numFmtId="0" fontId="18" fillId="6" borderId="143" xfId="0" applyFont="1" applyFill="1" applyBorder="1" applyAlignment="1">
      <alignment horizontal="right" vertical="center"/>
    </xf>
    <xf numFmtId="0" fontId="18" fillId="6" borderId="77" xfId="0" applyFont="1" applyFill="1" applyBorder="1" applyAlignment="1">
      <alignment horizontal="right" vertical="center"/>
    </xf>
    <xf numFmtId="0" fontId="18" fillId="6" borderId="41" xfId="0" applyFont="1" applyFill="1" applyBorder="1" applyAlignment="1">
      <alignment horizontal="left" vertical="center"/>
    </xf>
    <xf numFmtId="0" fontId="18" fillId="6" borderId="16" xfId="0" applyFont="1" applyFill="1" applyBorder="1" applyAlignment="1">
      <alignment horizontal="left" vertical="center"/>
    </xf>
    <xf numFmtId="0" fontId="18" fillId="6" borderId="43" xfId="0" applyFont="1" applyFill="1" applyBorder="1" applyAlignment="1">
      <alignment horizontal="left" vertical="center" wrapText="1"/>
    </xf>
    <xf numFmtId="0" fontId="18" fillId="6" borderId="21" xfId="0" applyFont="1" applyFill="1" applyBorder="1" applyAlignment="1">
      <alignment horizontal="left" vertical="center" wrapText="1"/>
    </xf>
    <xf numFmtId="0" fontId="2" fillId="0" borderId="50" xfId="0" applyFont="1" applyBorder="1" applyAlignment="1" applyProtection="1">
      <alignment horizontal="left" vertical="center"/>
      <protection hidden="1"/>
    </xf>
    <xf numFmtId="0" fontId="2" fillId="0" borderId="47" xfId="0" applyFont="1" applyBorder="1" applyAlignment="1" applyProtection="1">
      <alignment horizontal="left" vertical="center"/>
      <protection hidden="1"/>
    </xf>
    <xf numFmtId="0" fontId="18" fillId="0" borderId="59" xfId="0" applyFont="1" applyBorder="1" applyAlignment="1" applyProtection="1">
      <alignment vertical="center" shrinkToFit="1"/>
      <protection locked="0"/>
    </xf>
    <xf numFmtId="0" fontId="18" fillId="5" borderId="59" xfId="0" applyFont="1" applyFill="1" applyBorder="1" applyAlignment="1" applyProtection="1">
      <alignment horizontal="center" vertical="center"/>
      <protection hidden="1"/>
    </xf>
    <xf numFmtId="0" fontId="15" fillId="0" borderId="59" xfId="0" applyFont="1" applyBorder="1" applyAlignment="1" applyProtection="1">
      <alignment horizontal="left" vertical="center" wrapText="1"/>
      <protection locked="0"/>
    </xf>
    <xf numFmtId="198" fontId="17" fillId="0" borderId="47" xfId="0" applyNumberFormat="1" applyFont="1" applyBorder="1" applyAlignment="1" applyProtection="1">
      <alignment horizontal="right" vertical="center"/>
      <protection hidden="1"/>
    </xf>
    <xf numFmtId="198" fontId="17" fillId="0" borderId="14" xfId="0" applyNumberFormat="1" applyFont="1" applyBorder="1" applyAlignment="1" applyProtection="1">
      <alignment horizontal="right" vertical="center"/>
      <protection hidden="1"/>
    </xf>
    <xf numFmtId="200" fontId="17" fillId="0" borderId="47" xfId="0" applyNumberFormat="1" applyFont="1" applyBorder="1" applyAlignment="1" applyProtection="1">
      <alignment horizontal="left" vertical="center"/>
      <protection hidden="1"/>
    </xf>
    <xf numFmtId="200" fontId="17" fillId="0" borderId="14" xfId="0" applyNumberFormat="1" applyFont="1" applyBorder="1" applyAlignment="1" applyProtection="1">
      <alignment horizontal="left" vertical="center"/>
      <protection hidden="1"/>
    </xf>
    <xf numFmtId="199" fontId="17" fillId="0" borderId="47" xfId="0" applyNumberFormat="1" applyFont="1" applyBorder="1" applyAlignment="1" applyProtection="1">
      <alignment horizontal="center" vertical="center"/>
      <protection hidden="1"/>
    </xf>
    <xf numFmtId="199" fontId="17" fillId="0" borderId="14" xfId="0" applyNumberFormat="1" applyFont="1" applyBorder="1" applyAlignment="1" applyProtection="1">
      <alignment horizontal="center" vertical="center"/>
      <protection hidden="1"/>
    </xf>
    <xf numFmtId="0" fontId="17" fillId="0" borderId="47" xfId="0" applyFont="1" applyBorder="1" applyAlignment="1" applyProtection="1">
      <alignment horizontal="left" vertical="center"/>
      <protection hidden="1"/>
    </xf>
    <xf numFmtId="0" fontId="17" fillId="0" borderId="14" xfId="0" applyFont="1" applyBorder="1" applyAlignment="1" applyProtection="1">
      <alignment horizontal="left" vertical="center"/>
      <protection hidden="1"/>
    </xf>
    <xf numFmtId="0" fontId="3" fillId="0" borderId="47" xfId="0" applyFont="1" applyBorder="1" applyAlignment="1" applyProtection="1">
      <alignment horizontal="left" vertical="center"/>
      <protection hidden="1"/>
    </xf>
    <xf numFmtId="0" fontId="3" fillId="0" borderId="14" xfId="0" applyFont="1" applyBorder="1" applyAlignment="1" applyProtection="1">
      <alignment horizontal="left" vertical="center"/>
      <protection hidden="1"/>
    </xf>
    <xf numFmtId="0" fontId="18" fillId="10" borderId="59" xfId="0" applyFont="1" applyFill="1" applyBorder="1" applyAlignment="1" applyProtection="1">
      <alignment vertical="center" wrapText="1"/>
      <protection hidden="1"/>
    </xf>
    <xf numFmtId="0" fontId="17" fillId="0" borderId="30" xfId="0" applyFont="1" applyBorder="1" applyAlignment="1" applyProtection="1">
      <alignment horizontal="left" vertical="center"/>
      <protection hidden="1"/>
    </xf>
    <xf numFmtId="0" fontId="18" fillId="2" borderId="59" xfId="0" applyFont="1" applyFill="1" applyBorder="1" applyAlignment="1" applyProtection="1">
      <alignment horizontal="center" vertical="center" wrapText="1"/>
      <protection hidden="1"/>
    </xf>
    <xf numFmtId="0" fontId="18" fillId="2" borderId="59" xfId="0" applyFont="1" applyFill="1" applyBorder="1" applyAlignment="1">
      <alignment horizontal="left" vertical="center"/>
    </xf>
    <xf numFmtId="0" fontId="18" fillId="2" borderId="59" xfId="0" applyFont="1" applyFill="1" applyBorder="1" applyAlignment="1" applyProtection="1">
      <alignment horizontal="center" vertical="center"/>
      <protection hidden="1"/>
    </xf>
    <xf numFmtId="0" fontId="18" fillId="10" borderId="59" xfId="0" applyFont="1" applyFill="1" applyBorder="1" applyAlignment="1" applyProtection="1">
      <alignment horizontal="center" vertical="center"/>
      <protection hidden="1"/>
    </xf>
    <xf numFmtId="0" fontId="18" fillId="2" borderId="50" xfId="0" applyFont="1" applyFill="1" applyBorder="1" applyAlignment="1">
      <alignment horizontal="center" vertical="center" wrapText="1"/>
    </xf>
    <xf numFmtId="0" fontId="18" fillId="2" borderId="38" xfId="0" applyFont="1" applyFill="1" applyBorder="1" applyAlignment="1">
      <alignment horizontal="center" vertical="center" wrapText="1"/>
    </xf>
    <xf numFmtId="0" fontId="18" fillId="0" borderId="59" xfId="0" applyFont="1" applyBorder="1" applyAlignment="1" applyProtection="1">
      <alignment horizontal="left" vertical="center" wrapText="1"/>
      <protection locked="0"/>
    </xf>
    <xf numFmtId="0" fontId="18" fillId="10" borderId="59" xfId="0" applyFont="1" applyFill="1" applyBorder="1" applyAlignment="1" applyProtection="1">
      <alignment vertical="center" shrinkToFit="1"/>
      <protection hidden="1"/>
    </xf>
    <xf numFmtId="0" fontId="18" fillId="2" borderId="31" xfId="0" applyFont="1" applyFill="1" applyBorder="1" applyAlignment="1">
      <alignment horizontal="center" vertical="center"/>
    </xf>
    <xf numFmtId="0" fontId="18" fillId="2" borderId="33" xfId="0" applyFont="1" applyFill="1" applyBorder="1" applyAlignment="1">
      <alignment horizontal="center" vertical="center"/>
    </xf>
    <xf numFmtId="0" fontId="17" fillId="0" borderId="4" xfId="0" applyFont="1" applyBorder="1" applyAlignment="1">
      <alignment horizontal="left" vertical="center" wrapText="1" indent="1"/>
    </xf>
    <xf numFmtId="0" fontId="17" fillId="0" borderId="23" xfId="0" applyFont="1" applyBorder="1" applyAlignment="1">
      <alignment horizontal="left" vertical="center" wrapText="1" indent="1"/>
    </xf>
    <xf numFmtId="0" fontId="35" fillId="0" borderId="4" xfId="0" applyFont="1" applyBorder="1" applyAlignment="1" applyProtection="1">
      <alignment horizontal="right" vertical="center" shrinkToFit="1"/>
      <protection locked="0"/>
    </xf>
    <xf numFmtId="0" fontId="35" fillId="0" borderId="23" xfId="0" applyFont="1" applyBorder="1" applyAlignment="1" applyProtection="1">
      <alignment horizontal="right" vertical="center" shrinkToFit="1"/>
      <protection locked="0"/>
    </xf>
    <xf numFmtId="0" fontId="18" fillId="2" borderId="59" xfId="0" applyFont="1" applyFill="1" applyBorder="1" applyAlignment="1">
      <alignment horizontal="center" vertical="center" wrapText="1"/>
    </xf>
    <xf numFmtId="0" fontId="18" fillId="2" borderId="49" xfId="0" applyFont="1" applyFill="1" applyBorder="1" applyAlignment="1">
      <alignment horizontal="center" vertical="center" wrapText="1"/>
    </xf>
    <xf numFmtId="0" fontId="18" fillId="2" borderId="39" xfId="0" applyFont="1" applyFill="1" applyBorder="1" applyAlignment="1">
      <alignment horizontal="center" vertical="center" wrapText="1"/>
    </xf>
    <xf numFmtId="0" fontId="40" fillId="0" borderId="30" xfId="0" applyFont="1" applyBorder="1" applyAlignment="1" applyProtection="1">
      <alignment horizontal="left" vertical="center"/>
      <protection hidden="1"/>
    </xf>
    <xf numFmtId="0" fontId="40" fillId="0" borderId="29" xfId="0" applyFont="1" applyBorder="1" applyAlignment="1" applyProtection="1">
      <alignment horizontal="left" vertical="center"/>
      <protection hidden="1"/>
    </xf>
    <xf numFmtId="197" fontId="33" fillId="0" borderId="29" xfId="0" applyNumberFormat="1" applyFont="1" applyBorder="1" applyAlignment="1" applyProtection="1">
      <alignment horizontal="right" vertical="top" shrinkToFit="1"/>
      <protection hidden="1"/>
    </xf>
    <xf numFmtId="0" fontId="17" fillId="0" borderId="47" xfId="0" applyFont="1" applyBorder="1" applyAlignment="1">
      <alignment horizontal="left" vertical="center" indent="1"/>
    </xf>
    <xf numFmtId="0" fontId="17" fillId="0" borderId="14" xfId="0" applyFont="1" applyBorder="1" applyAlignment="1">
      <alignment horizontal="left" vertical="center" indent="1"/>
    </xf>
    <xf numFmtId="180" fontId="18" fillId="0" borderId="20" xfId="0" applyNumberFormat="1" applyFont="1" applyBorder="1" applyAlignment="1" applyProtection="1">
      <alignment horizontal="center" vertical="center" shrinkToFit="1"/>
      <protection hidden="1"/>
    </xf>
    <xf numFmtId="180" fontId="18" fillId="0" borderId="1" xfId="0" applyNumberFormat="1" applyFont="1" applyBorder="1" applyAlignment="1" applyProtection="1">
      <alignment horizontal="center" vertical="center" shrinkToFit="1"/>
      <protection hidden="1"/>
    </xf>
    <xf numFmtId="0" fontId="18" fillId="2" borderId="31" xfId="0" applyFont="1" applyFill="1" applyBorder="1" applyAlignment="1">
      <alignment horizontal="center" vertical="center" wrapText="1"/>
    </xf>
    <xf numFmtId="0" fontId="18" fillId="2" borderId="33" xfId="0" applyFont="1" applyFill="1" applyBorder="1" applyAlignment="1">
      <alignment horizontal="center" vertical="center" wrapText="1"/>
    </xf>
    <xf numFmtId="180" fontId="18" fillId="0" borderId="51" xfId="0" applyNumberFormat="1" applyFont="1" applyBorder="1" applyAlignment="1" applyProtection="1">
      <alignment horizontal="center" vertical="center" shrinkToFit="1"/>
      <protection hidden="1"/>
    </xf>
    <xf numFmtId="180" fontId="18" fillId="0" borderId="52" xfId="0" applyNumberFormat="1" applyFont="1" applyBorder="1" applyAlignment="1" applyProtection="1">
      <alignment horizontal="center" vertical="center" shrinkToFit="1"/>
      <protection hidden="1"/>
    </xf>
    <xf numFmtId="0" fontId="32" fillId="0" borderId="25" xfId="0" applyFont="1" applyBorder="1" applyAlignment="1" applyProtection="1">
      <alignment horizontal="center" vertical="center"/>
      <protection hidden="1"/>
    </xf>
    <xf numFmtId="0" fontId="32" fillId="0" borderId="26" xfId="0" applyFont="1" applyBorder="1" applyAlignment="1" applyProtection="1">
      <alignment horizontal="center" vertical="center"/>
      <protection hidden="1"/>
    </xf>
    <xf numFmtId="0" fontId="19" fillId="2" borderId="50" xfId="0" applyFont="1" applyFill="1" applyBorder="1" applyAlignment="1">
      <alignment horizontal="center" vertical="center" wrapText="1"/>
    </xf>
    <xf numFmtId="0" fontId="19" fillId="2" borderId="49" xfId="0" applyFont="1" applyFill="1" applyBorder="1" applyAlignment="1">
      <alignment horizontal="center" vertical="center" wrapText="1"/>
    </xf>
    <xf numFmtId="0" fontId="19" fillId="2" borderId="38" xfId="0" applyFont="1" applyFill="1" applyBorder="1" applyAlignment="1">
      <alignment horizontal="center" vertical="center" wrapText="1"/>
    </xf>
    <xf numFmtId="0" fontId="19" fillId="2" borderId="39" xfId="0" applyFont="1" applyFill="1" applyBorder="1" applyAlignment="1">
      <alignment horizontal="center" vertical="center" wrapText="1"/>
    </xf>
    <xf numFmtId="180" fontId="18" fillId="0" borderId="40" xfId="0" applyNumberFormat="1" applyFont="1" applyBorder="1" applyAlignment="1" applyProtection="1">
      <alignment horizontal="center" vertical="center" shrinkToFit="1"/>
      <protection hidden="1"/>
    </xf>
    <xf numFmtId="180" fontId="18" fillId="0" borderId="19" xfId="0" applyNumberFormat="1" applyFont="1" applyBorder="1" applyAlignment="1" applyProtection="1">
      <alignment horizontal="center" vertical="center" shrinkToFit="1"/>
      <protection hidden="1"/>
    </xf>
    <xf numFmtId="180" fontId="18" fillId="0" borderId="92" xfId="0" applyNumberFormat="1" applyFont="1" applyBorder="1" applyAlignment="1" applyProtection="1">
      <alignment horizontal="center" vertical="center" shrinkToFit="1"/>
      <protection hidden="1"/>
    </xf>
    <xf numFmtId="180" fontId="18" fillId="0" borderId="94" xfId="0" applyNumberFormat="1" applyFont="1" applyBorder="1" applyAlignment="1" applyProtection="1">
      <alignment horizontal="center" vertical="center" shrinkToFit="1"/>
      <protection hidden="1"/>
    </xf>
    <xf numFmtId="0" fontId="17" fillId="0" borderId="4" xfId="0" applyFont="1" applyBorder="1" applyAlignment="1">
      <alignment horizontal="left" vertical="center" indent="1"/>
    </xf>
    <xf numFmtId="0" fontId="19" fillId="2" borderId="59" xfId="0" applyFont="1" applyFill="1" applyBorder="1" applyAlignment="1" applyProtection="1">
      <alignment horizontal="center" vertical="center" wrapText="1"/>
      <protection hidden="1"/>
    </xf>
    <xf numFmtId="0" fontId="59" fillId="6" borderId="0" xfId="0" applyFont="1" applyFill="1" applyAlignment="1">
      <alignment horizontal="left" wrapText="1"/>
    </xf>
    <xf numFmtId="0" fontId="59" fillId="6" borderId="29" xfId="0" applyFont="1" applyFill="1" applyBorder="1" applyAlignment="1">
      <alignment horizontal="left" wrapText="1"/>
    </xf>
    <xf numFmtId="0" fontId="18" fillId="9" borderId="50" xfId="0" applyFont="1" applyFill="1" applyBorder="1" applyAlignment="1">
      <alignment horizontal="center" vertical="center" wrapText="1"/>
    </xf>
    <xf numFmtId="0" fontId="18" fillId="9" borderId="38" xfId="0" applyFont="1" applyFill="1" applyBorder="1" applyAlignment="1">
      <alignment horizontal="center" vertical="center" wrapText="1"/>
    </xf>
    <xf numFmtId="0" fontId="19" fillId="9" borderId="50" xfId="0" applyFont="1" applyFill="1" applyBorder="1" applyAlignment="1">
      <alignment horizontal="center" vertical="center" wrapText="1"/>
    </xf>
    <xf numFmtId="0" fontId="19" fillId="9" borderId="49" xfId="0" applyFont="1" applyFill="1" applyBorder="1" applyAlignment="1">
      <alignment horizontal="center" vertical="center" wrapText="1"/>
    </xf>
    <xf numFmtId="0" fontId="19" fillId="9" borderId="38" xfId="0" applyFont="1" applyFill="1" applyBorder="1" applyAlignment="1">
      <alignment horizontal="center" vertical="center" wrapText="1"/>
    </xf>
    <xf numFmtId="0" fontId="19" fillId="9" borderId="39" xfId="0" applyFont="1" applyFill="1" applyBorder="1" applyAlignment="1">
      <alignment horizontal="center" vertical="center" wrapText="1"/>
    </xf>
    <xf numFmtId="0" fontId="18" fillId="9" borderId="31" xfId="0" applyFont="1" applyFill="1" applyBorder="1" applyAlignment="1">
      <alignment horizontal="center" vertical="center" wrapText="1"/>
    </xf>
    <xf numFmtId="0" fontId="18" fillId="9" borderId="33" xfId="0" applyFont="1" applyFill="1" applyBorder="1" applyAlignment="1">
      <alignment horizontal="center" vertical="center" wrapText="1"/>
    </xf>
    <xf numFmtId="0" fontId="18" fillId="9" borderId="59" xfId="0" applyFont="1" applyFill="1" applyBorder="1" applyAlignment="1">
      <alignment horizontal="center" vertical="center" wrapText="1"/>
    </xf>
    <xf numFmtId="0" fontId="18" fillId="9" borderId="8" xfId="0" applyFont="1" applyFill="1" applyBorder="1" applyAlignment="1">
      <alignment horizontal="center" vertical="center"/>
    </xf>
    <xf numFmtId="0" fontId="18" fillId="9" borderId="10" xfId="0" applyFont="1" applyFill="1" applyBorder="1" applyAlignment="1">
      <alignment horizontal="center" vertical="center"/>
    </xf>
    <xf numFmtId="0" fontId="18" fillId="9" borderId="59" xfId="0" applyFont="1" applyFill="1" applyBorder="1" applyAlignment="1">
      <alignment horizontal="center" vertical="center"/>
    </xf>
    <xf numFmtId="0" fontId="18" fillId="9" borderId="49" xfId="0" applyFont="1" applyFill="1" applyBorder="1" applyAlignment="1">
      <alignment horizontal="center" vertical="center" wrapText="1"/>
    </xf>
    <xf numFmtId="0" fontId="18" fillId="9" borderId="39" xfId="0" applyFont="1" applyFill="1" applyBorder="1" applyAlignment="1">
      <alignment horizontal="center" vertical="center" wrapText="1"/>
    </xf>
    <xf numFmtId="0" fontId="17" fillId="9" borderId="182" xfId="0" applyFont="1" applyFill="1" applyBorder="1" applyAlignment="1">
      <alignment horizontal="center" vertical="center"/>
    </xf>
    <xf numFmtId="0" fontId="17" fillId="9" borderId="178" xfId="0" applyFont="1" applyFill="1" applyBorder="1" applyAlignment="1">
      <alignment horizontal="center" vertical="center"/>
    </xf>
    <xf numFmtId="0" fontId="17" fillId="9" borderId="185" xfId="0" applyFont="1" applyFill="1" applyBorder="1" applyAlignment="1">
      <alignment horizontal="center" vertical="center" wrapText="1"/>
    </xf>
    <xf numFmtId="0" fontId="17" fillId="9" borderId="186" xfId="0" applyFont="1" applyFill="1" applyBorder="1" applyAlignment="1">
      <alignment horizontal="center" vertical="center" wrapText="1"/>
    </xf>
    <xf numFmtId="0" fontId="28" fillId="0" borderId="0" xfId="0" applyFont="1" applyAlignment="1">
      <alignment horizontal="left" vertical="center" wrapText="1"/>
    </xf>
    <xf numFmtId="0" fontId="28" fillId="0" borderId="29" xfId="0" applyFont="1" applyBorder="1" applyAlignment="1">
      <alignment horizontal="left" vertical="center" wrapText="1"/>
    </xf>
    <xf numFmtId="0" fontId="77" fillId="6" borderId="179" xfId="0" applyFont="1" applyFill="1" applyBorder="1" applyAlignment="1">
      <alignment horizontal="center" vertical="center"/>
    </xf>
    <xf numFmtId="0" fontId="71" fillId="6" borderId="179" xfId="0" applyFont="1" applyFill="1" applyBorder="1" applyAlignment="1">
      <alignment horizontal="left" vertical="center"/>
    </xf>
    <xf numFmtId="0" fontId="77" fillId="6" borderId="180" xfId="0" applyFont="1" applyFill="1" applyBorder="1" applyAlignment="1">
      <alignment horizontal="left" vertical="center"/>
    </xf>
    <xf numFmtId="0" fontId="77" fillId="6" borderId="181" xfId="0" applyFont="1" applyFill="1" applyBorder="1" applyAlignment="1">
      <alignment horizontal="left" vertical="center"/>
    </xf>
    <xf numFmtId="0" fontId="77" fillId="6" borderId="179" xfId="0" applyFont="1" applyFill="1" applyBorder="1" applyAlignment="1">
      <alignment horizontal="center" vertical="center" wrapText="1"/>
    </xf>
    <xf numFmtId="0" fontId="71" fillId="6" borderId="179" xfId="0" applyFont="1" applyFill="1" applyBorder="1" applyAlignment="1">
      <alignment horizontal="center" vertical="center" wrapText="1"/>
    </xf>
    <xf numFmtId="0" fontId="17" fillId="9" borderId="182" xfId="0" applyFont="1" applyFill="1" applyBorder="1" applyAlignment="1">
      <alignment horizontal="center" vertical="center" wrapText="1"/>
    </xf>
    <xf numFmtId="0" fontId="17" fillId="9" borderId="178" xfId="0" applyFont="1" applyFill="1" applyBorder="1" applyAlignment="1">
      <alignment horizontal="center" vertical="center" wrapText="1"/>
    </xf>
    <xf numFmtId="0" fontId="17" fillId="9" borderId="183" xfId="0" applyFont="1" applyFill="1" applyBorder="1" applyAlignment="1">
      <alignment horizontal="center" vertical="center" wrapText="1"/>
    </xf>
    <xf numFmtId="0" fontId="17" fillId="9" borderId="184" xfId="0" applyFont="1" applyFill="1" applyBorder="1" applyAlignment="1">
      <alignment horizontal="center" vertical="center" wrapText="1"/>
    </xf>
    <xf numFmtId="0" fontId="47" fillId="0" borderId="29" xfId="0" applyFont="1" applyBorder="1" applyAlignment="1">
      <alignment horizontal="left" vertical="center" wrapText="1"/>
    </xf>
    <xf numFmtId="0" fontId="47" fillId="0" borderId="0" xfId="0" applyFont="1">
      <alignment vertical="center"/>
    </xf>
    <xf numFmtId="0" fontId="0" fillId="0" borderId="0" xfId="0">
      <alignment vertical="center"/>
    </xf>
    <xf numFmtId="0" fontId="47" fillId="0" borderId="0" xfId="0" applyFont="1" applyAlignment="1">
      <alignment horizontal="left" vertical="center"/>
    </xf>
    <xf numFmtId="0" fontId="47" fillId="0" borderId="29" xfId="0" applyFont="1" applyBorder="1" applyAlignment="1">
      <alignment horizontal="left" vertical="center"/>
    </xf>
  </cellXfs>
  <cellStyles count="3">
    <cellStyle name="桁区切り" xfId="1" builtinId="6"/>
    <cellStyle name="標準" xfId="0" builtinId="0"/>
    <cellStyle name="標準 2" xfId="2" xr:uid="{E62E697B-26EB-4F4A-BAC5-4BD829F0FDB9}"/>
  </cellStyles>
  <dxfs count="737">
    <dxf>
      <fill>
        <patternFill>
          <bgColor rgb="FF99CCFF"/>
        </patternFill>
      </fill>
    </dxf>
    <dxf>
      <fill>
        <patternFill>
          <bgColor rgb="FF99CCFF"/>
        </patternFill>
      </fill>
    </dxf>
    <dxf>
      <fill>
        <patternFill>
          <bgColor rgb="FF99CCFF"/>
        </patternFill>
      </fill>
    </dxf>
    <dxf>
      <font>
        <b/>
        <i val="0"/>
        <color rgb="FFFF0000"/>
      </font>
      <fill>
        <patternFill>
          <bgColor rgb="FFFFFF99"/>
        </patternFill>
      </fill>
    </dxf>
    <dxf>
      <font>
        <b/>
        <i val="0"/>
        <color rgb="FFFF0000"/>
      </font>
      <fill>
        <patternFill>
          <bgColor rgb="FFFFFF99"/>
        </patternFill>
      </fill>
    </dxf>
    <dxf>
      <font>
        <b/>
        <i val="0"/>
        <color rgb="FFFF0000"/>
      </font>
      <fill>
        <patternFill patternType="solid">
          <bgColor rgb="FFFFFF99"/>
        </patternFill>
      </fill>
    </dxf>
    <dxf>
      <font>
        <b/>
        <i val="0"/>
        <color theme="0"/>
      </font>
      <fill>
        <patternFill>
          <bgColor rgb="FFFF0000"/>
        </patternFill>
      </fill>
    </dxf>
    <dxf>
      <font>
        <b/>
        <i val="0"/>
        <color rgb="FFFF0000"/>
      </font>
      <fill>
        <patternFill>
          <bgColor rgb="FFFFFF99"/>
        </patternFill>
      </fill>
    </dxf>
    <dxf>
      <font>
        <b/>
        <i val="0"/>
        <color rgb="FFFF0000"/>
      </font>
      <fill>
        <patternFill>
          <bgColor rgb="FFFFFF99"/>
        </patternFill>
      </fill>
    </dxf>
    <dxf>
      <font>
        <b/>
        <i val="0"/>
        <color rgb="FFFF0000"/>
      </font>
      <fill>
        <patternFill>
          <bgColor rgb="FFFFFF99"/>
        </patternFill>
      </fill>
    </dxf>
    <dxf>
      <font>
        <b/>
        <i val="0"/>
        <color rgb="FFFF0000"/>
      </font>
      <fill>
        <patternFill>
          <bgColor rgb="FFFFFF99"/>
        </patternFill>
      </fill>
    </dxf>
    <dxf>
      <font>
        <b/>
        <i val="0"/>
        <color rgb="FFFF0000"/>
      </font>
      <fill>
        <patternFill>
          <bgColor rgb="FFFFFF99"/>
        </patternFill>
      </fill>
    </dxf>
    <dxf>
      <font>
        <b/>
        <i val="0"/>
        <color rgb="FFFF0000"/>
      </font>
      <fill>
        <patternFill>
          <bgColor rgb="FFFFFF99"/>
        </patternFill>
      </fill>
    </dxf>
    <dxf>
      <font>
        <b/>
        <i val="0"/>
        <color rgb="FFFF0000"/>
      </font>
      <fill>
        <patternFill>
          <bgColor rgb="FFFFFF99"/>
        </patternFill>
      </fill>
    </dxf>
    <dxf>
      <font>
        <b/>
        <i val="0"/>
        <color theme="0"/>
      </font>
      <fill>
        <patternFill>
          <bgColor rgb="FFFF0000"/>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ont>
        <b/>
        <i val="0"/>
      </font>
      <fill>
        <patternFill>
          <bgColor rgb="FFFFFF99"/>
        </patternFill>
      </fill>
    </dxf>
    <dxf>
      <font>
        <color theme="4" tint="-0.499984740745262"/>
      </font>
      <fill>
        <patternFill>
          <bgColor rgb="FFFDEFE7"/>
        </patternFill>
      </fill>
    </dxf>
    <dxf>
      <font>
        <color theme="4" tint="-0.499984740745262"/>
      </font>
      <fill>
        <patternFill>
          <bgColor rgb="FFFDEFE7"/>
        </patternFill>
      </fill>
    </dxf>
    <dxf>
      <fill>
        <patternFill>
          <bgColor rgb="FFFFFF99"/>
        </patternFill>
      </fill>
    </dxf>
    <dxf>
      <fill>
        <patternFill>
          <bgColor rgb="FFFFFF99"/>
        </patternFill>
      </fill>
    </dxf>
    <dxf>
      <fill>
        <patternFill>
          <bgColor rgb="FFFFFF99"/>
        </patternFill>
      </fill>
    </dxf>
    <dxf>
      <fill>
        <patternFill>
          <bgColor rgb="FFFFFF99"/>
        </patternFill>
      </fill>
    </dxf>
    <dxf>
      <font>
        <strike/>
        <u val="none"/>
      </font>
    </dxf>
    <dxf>
      <font>
        <b/>
        <i val="0"/>
        <color rgb="FFFF0000"/>
      </font>
    </dxf>
    <dxf>
      <fill>
        <patternFill>
          <bgColor rgb="FFFFFF99"/>
        </patternFill>
      </fill>
    </dxf>
    <dxf>
      <fill>
        <patternFill>
          <bgColor rgb="FFFFFF99"/>
        </patternFill>
      </fill>
    </dxf>
    <dxf>
      <fill>
        <patternFill>
          <bgColor rgb="FFFFFF99"/>
        </patternFill>
      </fill>
    </dxf>
    <dxf>
      <font>
        <b/>
        <i/>
        <color theme="0"/>
      </font>
      <fill>
        <patternFill>
          <bgColor rgb="FFFF0000"/>
        </patternFill>
      </fill>
    </dxf>
    <dxf>
      <fill>
        <patternFill patternType="solid">
          <fgColor auto="1"/>
          <bgColor rgb="FFFFFF99"/>
        </patternFill>
      </fill>
    </dxf>
    <dxf>
      <fill>
        <patternFill patternType="solid">
          <fgColor auto="1"/>
          <bgColor rgb="FFFFFF99"/>
        </patternFill>
      </fill>
    </dxf>
    <dxf>
      <font>
        <b/>
        <i val="0"/>
        <color rgb="FFFF0066"/>
      </font>
      <fill>
        <patternFill patternType="solid">
          <bgColor rgb="FFFFCCFF"/>
        </patternFill>
      </fill>
    </dxf>
    <dxf>
      <font>
        <b/>
        <i val="0"/>
        <color theme="1"/>
      </font>
      <fill>
        <patternFill patternType="solid">
          <bgColor theme="0" tint="-4.9989318521683403E-2"/>
        </patternFill>
      </fill>
    </dxf>
    <dxf>
      <fill>
        <patternFill>
          <bgColor rgb="FFFFFF99"/>
        </patternFill>
      </fill>
    </dxf>
    <dxf>
      <font>
        <color theme="0" tint="-0.499984740745262"/>
      </font>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ont>
        <b val="0"/>
        <i val="0"/>
        <strike val="0"/>
        <color auto="1"/>
      </font>
      <fill>
        <patternFill>
          <bgColor rgb="FFFFFF99"/>
        </patternFill>
      </fill>
    </dxf>
    <dxf>
      <fill>
        <patternFill>
          <bgColor rgb="FFFFFF99"/>
        </patternFill>
      </fill>
    </dxf>
    <dxf>
      <font>
        <color theme="0" tint="-0.499984740745262"/>
      </font>
      <fill>
        <patternFill patternType="solid">
          <bgColor rgb="FFFFFF99"/>
        </patternFill>
      </fill>
    </dxf>
    <dxf>
      <fill>
        <patternFill>
          <bgColor rgb="FFFFFF99"/>
        </patternFill>
      </fill>
    </dxf>
    <dxf>
      <fill>
        <patternFill>
          <bgColor rgb="FFFFFF99"/>
        </patternFill>
      </fill>
    </dxf>
    <dxf>
      <font>
        <color theme="1" tint="0.499984740745262"/>
      </font>
      <fill>
        <patternFill>
          <bgColor rgb="FFFFFF99"/>
        </patternFill>
      </fill>
    </dxf>
    <dxf>
      <fill>
        <patternFill>
          <bgColor rgb="FFFFFF99"/>
        </patternFill>
      </fill>
    </dxf>
    <dxf>
      <fill>
        <patternFill>
          <bgColor rgb="FFFFFF99"/>
        </patternFill>
      </fill>
    </dxf>
    <dxf>
      <font>
        <color theme="0" tint="-0.499984740745262"/>
      </font>
      <fill>
        <patternFill>
          <bgColor rgb="FFFFFF99"/>
        </patternFill>
      </fill>
    </dxf>
    <dxf>
      <font>
        <b/>
        <i/>
        <color rgb="FFFF0000"/>
      </font>
      <fill>
        <patternFill>
          <bgColor theme="5" tint="0.59996337778862885"/>
        </patternFill>
      </fill>
    </dxf>
    <dxf>
      <fill>
        <patternFill>
          <bgColor rgb="FFFFFF99"/>
        </patternFill>
      </fill>
    </dxf>
    <dxf>
      <font>
        <b/>
        <i/>
        <strike val="0"/>
        <color theme="0"/>
      </font>
      <fill>
        <patternFill>
          <bgColor rgb="FFFF0000"/>
        </patternFill>
      </fill>
      <border>
        <left/>
        <right/>
        <top/>
        <bottom/>
      </border>
    </dxf>
    <dxf>
      <font>
        <b/>
        <i val="0"/>
        <color theme="0"/>
      </font>
      <fill>
        <patternFill>
          <bgColor rgb="FFFF0000"/>
        </patternFill>
      </fill>
      <border>
        <left/>
        <right/>
        <top/>
        <bottom/>
      </border>
    </dxf>
    <dxf>
      <fill>
        <patternFill>
          <bgColor rgb="FFFFFF99"/>
        </patternFill>
      </fill>
    </dxf>
    <dxf>
      <fill>
        <patternFill>
          <bgColor rgb="FFFFFF99"/>
        </patternFill>
      </fill>
    </dxf>
    <dxf>
      <fill>
        <patternFill patternType="solid">
          <bgColor theme="0" tint="-4.9989318521683403E-2"/>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0"/>
      </font>
    </dxf>
    <dxf>
      <font>
        <color theme="1" tint="0.499984740745262"/>
      </font>
      <fill>
        <patternFill>
          <bgColor rgb="FFFFFF99"/>
        </patternFill>
      </fill>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0"/>
      </font>
    </dxf>
    <dxf>
      <font>
        <color theme="1" tint="0.499984740745262"/>
      </font>
      <fill>
        <patternFill>
          <bgColor rgb="FFFFFF99"/>
        </patternFill>
      </fill>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ont>
        <color theme="0"/>
      </font>
    </dxf>
    <dxf>
      <font>
        <color theme="1" tint="0.499984740745262"/>
      </font>
      <fill>
        <patternFill>
          <bgColor rgb="FFFFFF99"/>
        </patternFill>
      </fill>
    </dxf>
    <dxf>
      <font>
        <color theme="1" tint="0.499984740745262"/>
      </font>
      <fill>
        <patternFill>
          <bgColor rgb="FFFFFF99"/>
        </patternFill>
      </fill>
    </dxf>
    <dxf>
      <font>
        <color theme="0"/>
      </font>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theme="0" tint="-4.9989318521683403E-2"/>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ont>
        <b/>
        <i val="0"/>
        <color theme="0"/>
      </font>
      <fill>
        <patternFill patternType="solid">
          <bgColor rgb="FFFF0000"/>
        </patternFill>
      </fill>
    </dxf>
    <dxf>
      <fill>
        <patternFill>
          <bgColor rgb="FFFFFF99"/>
        </patternFill>
      </fill>
    </dxf>
    <dxf>
      <fill>
        <patternFill>
          <bgColor rgb="FFFFFF99"/>
        </patternFill>
      </fill>
    </dxf>
    <dxf>
      <font>
        <b/>
        <i val="0"/>
        <color theme="0"/>
      </font>
      <fill>
        <patternFill patternType="solid">
          <bgColor rgb="FFFF0000"/>
        </patternFill>
      </fill>
    </dxf>
    <dxf>
      <fill>
        <patternFill>
          <bgColor rgb="FFFFFF99"/>
        </patternFill>
      </fill>
    </dxf>
    <dxf>
      <font>
        <b/>
        <i val="0"/>
        <color theme="0"/>
      </font>
      <fill>
        <patternFill patternType="solid">
          <bgColor rgb="FFFF0000"/>
        </patternFill>
      </fill>
    </dxf>
    <dxf>
      <font>
        <b/>
        <i val="0"/>
        <color theme="0"/>
      </font>
      <fill>
        <patternFill patternType="solid">
          <bgColor rgb="FFFF0000"/>
        </patternFill>
      </fill>
    </dxf>
    <dxf>
      <fill>
        <patternFill>
          <bgColor rgb="FFFFFF99"/>
        </patternFill>
      </fill>
    </dxf>
    <dxf>
      <fill>
        <patternFill>
          <bgColor rgb="FFFFFF99"/>
        </patternFill>
      </fill>
    </dxf>
    <dxf>
      <font>
        <b/>
        <i val="0"/>
        <color theme="0"/>
      </font>
      <fill>
        <patternFill patternType="solid">
          <bgColor rgb="FFFF0000"/>
        </patternFill>
      </fill>
    </dxf>
    <dxf>
      <fill>
        <patternFill>
          <bgColor rgb="FFFFFF99"/>
        </patternFill>
      </fill>
    </dxf>
    <dxf>
      <font>
        <b/>
        <i val="0"/>
        <color theme="0"/>
      </font>
      <fill>
        <patternFill patternType="solid">
          <bgColor rgb="FFFF0000"/>
        </patternFill>
      </fill>
    </dxf>
    <dxf>
      <fill>
        <patternFill>
          <bgColor rgb="FFFFFF99"/>
        </patternFill>
      </fill>
    </dxf>
    <dxf>
      <font>
        <b/>
        <i val="0"/>
        <color theme="0"/>
      </font>
      <fill>
        <patternFill patternType="solid">
          <bgColor rgb="FFFF0000"/>
        </patternFill>
      </fill>
    </dxf>
    <dxf>
      <font>
        <b/>
        <i val="0"/>
        <color theme="0"/>
      </font>
      <fill>
        <patternFill patternType="solid">
          <bgColor rgb="FFFF0000"/>
        </patternFill>
      </fill>
    </dxf>
    <dxf>
      <fill>
        <patternFill>
          <bgColor rgb="FFFFFF99"/>
        </patternFill>
      </fill>
    </dxf>
    <dxf>
      <font>
        <b/>
        <i val="0"/>
        <color theme="0"/>
      </font>
      <fill>
        <patternFill patternType="solid">
          <bgColor rgb="FFFF0000"/>
        </patternFill>
      </fill>
    </dxf>
    <dxf>
      <fill>
        <patternFill>
          <bgColor rgb="FFFFFF99"/>
        </patternFill>
      </fill>
    </dxf>
    <dxf>
      <fill>
        <patternFill>
          <bgColor rgb="FFFFFF99"/>
        </patternFill>
      </fill>
    </dxf>
    <dxf>
      <font>
        <b/>
        <i val="0"/>
        <color theme="0"/>
      </font>
      <fill>
        <patternFill patternType="solid">
          <bgColor rgb="FFFF0000"/>
        </patternFill>
      </fill>
    </dxf>
    <dxf>
      <font>
        <b/>
        <i val="0"/>
        <color theme="0"/>
      </font>
      <fill>
        <patternFill patternType="solid">
          <bgColor rgb="FFFF0000"/>
        </patternFill>
      </fill>
    </dxf>
    <dxf>
      <fill>
        <patternFill>
          <bgColor rgb="FFFFFF99"/>
        </patternFill>
      </fill>
    </dxf>
    <dxf>
      <font>
        <b/>
        <i val="0"/>
        <color theme="0"/>
      </font>
      <fill>
        <patternFill patternType="solid">
          <bgColor rgb="FFFF0000"/>
        </patternFill>
      </fill>
    </dxf>
    <dxf>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
      <fill>
        <patternFill patternType="none">
          <bgColor auto="1"/>
        </patternFill>
      </fill>
    </dxf>
    <dxf>
      <fill>
        <patternFill patternType="solid">
          <bgColor rgb="FFFFFF99"/>
        </patternFill>
      </fill>
    </dxf>
    <dxf>
      <fill>
        <patternFill>
          <bgColor theme="6" tint="0.79998168889431442"/>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b/>
        <i val="0"/>
      </font>
      <fill>
        <patternFill patternType="none">
          <bgColor auto="1"/>
        </patternFill>
      </fill>
    </dxf>
    <dxf>
      <font>
        <b/>
        <i val="0"/>
      </font>
      <fill>
        <patternFill patternType="none">
          <bgColor auto="1"/>
        </patternFill>
      </fill>
    </dxf>
    <dxf>
      <font>
        <b/>
        <i val="0"/>
        <color auto="1"/>
      </font>
      <fill>
        <patternFill>
          <bgColor rgb="FFFFFF99"/>
        </patternFill>
      </fill>
    </dxf>
    <dxf>
      <fill>
        <patternFill>
          <bgColor rgb="FFFFFF99"/>
        </patternFill>
      </fill>
    </dxf>
    <dxf>
      <font>
        <b val="0"/>
        <i val="0"/>
      </font>
      <fill>
        <patternFill>
          <bgColor theme="0" tint="-0.24994659260841701"/>
        </patternFill>
      </fill>
    </dxf>
    <dxf>
      <fill>
        <patternFill>
          <bgColor rgb="FFFFFF99"/>
        </patternFill>
      </fill>
    </dxf>
    <dxf>
      <font>
        <b val="0"/>
        <i val="0"/>
        <color theme="0" tint="-0.499984740745262"/>
      </font>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ont>
        <color rgb="FFFF0000"/>
      </font>
      <fill>
        <patternFill>
          <bgColor rgb="FFCCECFF"/>
        </patternFill>
      </fill>
    </dxf>
    <dxf>
      <fill>
        <patternFill>
          <bgColor theme="0" tint="-0.24994659260841701"/>
        </patternFill>
      </fill>
    </dxf>
    <dxf>
      <font>
        <b/>
        <i val="0"/>
        <color rgb="FFFF0000"/>
      </font>
      <fill>
        <patternFill>
          <bgColor theme="7" tint="0.39994506668294322"/>
        </patternFill>
      </fill>
    </dxf>
    <dxf>
      <font>
        <b/>
        <i val="0"/>
        <color rgb="FFFF0000"/>
      </font>
      <fill>
        <patternFill>
          <bgColor theme="7" tint="0.39994506668294322"/>
        </patternFill>
      </fill>
    </dxf>
    <dxf>
      <font>
        <b/>
        <i/>
        <color rgb="FFFF0000"/>
      </font>
      <fill>
        <patternFill patternType="solid">
          <bgColor theme="7" tint="0.39994506668294322"/>
        </patternFill>
      </fill>
    </dxf>
    <dxf>
      <font>
        <b/>
        <i/>
        <color rgb="FFFF0000"/>
      </font>
      <fill>
        <patternFill>
          <bgColor theme="7" tint="0.39994506668294322"/>
        </patternFill>
      </fill>
    </dxf>
    <dxf>
      <fill>
        <patternFill>
          <bgColor rgb="FFFFFF99"/>
        </patternFill>
      </fill>
    </dxf>
    <dxf>
      <fill>
        <patternFill>
          <bgColor rgb="FFFFFF99"/>
        </patternFill>
      </fill>
    </dxf>
    <dxf>
      <fill>
        <patternFill>
          <bgColor theme="0" tint="-0.24994659260841701"/>
        </patternFill>
      </fill>
    </dxf>
    <dxf>
      <font>
        <color theme="1" tint="0.499984740745262"/>
      </font>
      <fill>
        <patternFill>
          <bgColor rgb="FFFFFF99"/>
        </patternFill>
      </fill>
    </dxf>
    <dxf>
      <font>
        <color theme="0" tint="-0.24994659260841701"/>
      </font>
      <fill>
        <patternFill>
          <bgColor theme="0" tint="-0.24994659260841701"/>
        </patternFill>
      </fill>
    </dxf>
    <dxf>
      <font>
        <color theme="0"/>
      </font>
    </dxf>
    <dxf>
      <fill>
        <patternFill>
          <bgColor rgb="FFFFFF99"/>
        </patternFill>
      </fill>
    </dxf>
    <dxf>
      <fill>
        <patternFill>
          <bgColor theme="0" tint="-0.24994659260841701"/>
        </patternFill>
      </fill>
    </dxf>
    <dxf>
      <font>
        <b/>
        <i val="0"/>
        <color auto="1"/>
      </font>
      <fill>
        <patternFill>
          <bgColor rgb="FFFFFF99"/>
        </patternFill>
      </fill>
    </dxf>
    <dxf>
      <fill>
        <patternFill>
          <bgColor theme="0" tint="-0.24994659260841701"/>
        </patternFill>
      </fill>
    </dxf>
    <dxf>
      <fill>
        <patternFill>
          <bgColor rgb="FFFFFF99"/>
        </patternFill>
      </fill>
    </dxf>
    <dxf>
      <font>
        <b/>
        <i val="0"/>
        <color rgb="FFFF0000"/>
      </font>
      <fill>
        <patternFill>
          <bgColor rgb="FFFFFF99"/>
        </patternFill>
      </fill>
    </dxf>
    <dxf>
      <font>
        <strike val="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strike val="0"/>
      </font>
      <fill>
        <patternFill>
          <bgColor rgb="FFFFFF99"/>
        </patternFill>
      </fill>
    </dxf>
    <dxf>
      <font>
        <b/>
        <i val="0"/>
        <color rgb="FFFF000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b/>
        <i val="0"/>
        <color rgb="FFFF0000"/>
      </font>
      <fill>
        <patternFill>
          <bgColor rgb="FFFFFF99"/>
        </patternFill>
      </fill>
    </dxf>
    <dxf>
      <font>
        <strike val="0"/>
      </font>
      <fill>
        <patternFill>
          <bgColor rgb="FFFFFF99"/>
        </patternFill>
      </fill>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strike val="0"/>
      </font>
      <fill>
        <patternFill>
          <bgColor rgb="FFCCECFF"/>
        </patternFill>
      </fill>
      <border>
        <left style="hair">
          <color auto="1"/>
        </left>
        <right style="hair">
          <color auto="1"/>
        </right>
      </border>
    </dxf>
    <dxf>
      <font>
        <color theme="0"/>
      </font>
      <border>
        <left style="hair">
          <color auto="1"/>
        </left>
        <right/>
      </border>
    </dxf>
    <dxf>
      <font>
        <b/>
        <i val="0"/>
        <color auto="1"/>
      </font>
      <fill>
        <patternFill>
          <bgColor rgb="FFFFFF99"/>
        </patternFill>
      </fill>
    </dxf>
    <dxf>
      <font>
        <b/>
        <i val="0"/>
        <color rgb="FFFF0000"/>
      </font>
      <fill>
        <patternFill>
          <bgColor rgb="FFFFFF99"/>
        </patternFill>
      </fill>
    </dxf>
    <dxf>
      <fill>
        <patternFill patternType="none">
          <bgColor auto="1"/>
        </patternFill>
      </fill>
    </dxf>
    <dxf>
      <fill>
        <patternFill patternType="none">
          <bgColor auto="1"/>
        </patternFill>
      </fill>
    </dxf>
    <dxf>
      <font>
        <color theme="0"/>
      </font>
      <border>
        <left style="hair">
          <color auto="1"/>
        </left>
        <right/>
      </border>
    </dxf>
    <dxf>
      <font>
        <b/>
        <i val="0"/>
        <color auto="1"/>
      </font>
      <fill>
        <patternFill>
          <bgColor rgb="FFFFFF99"/>
        </patternFill>
      </fill>
    </dxf>
    <dxf>
      <font>
        <b/>
        <i val="0"/>
        <color rgb="FFFF0000"/>
      </font>
      <fill>
        <patternFill>
          <bgColor rgb="FFFFFF99"/>
        </patternFill>
      </fill>
    </dxf>
    <dxf>
      <font>
        <b/>
        <i val="0"/>
        <color rgb="FFFF0000"/>
      </font>
      <fill>
        <patternFill>
          <bgColor rgb="FFFFFF99"/>
        </patternFill>
      </fill>
    </dxf>
    <dxf>
      <font>
        <b/>
        <i val="0"/>
        <color auto="1"/>
      </font>
      <fill>
        <patternFill>
          <bgColor rgb="FFFFFF99"/>
        </patternFill>
      </fill>
    </dxf>
    <dxf>
      <fill>
        <patternFill patternType="none">
          <bgColor auto="1"/>
        </patternFill>
      </fill>
    </dxf>
    <dxf>
      <font>
        <color theme="0"/>
      </font>
      <border>
        <left style="hair">
          <color auto="1"/>
        </left>
        <right/>
      </border>
    </dxf>
    <dxf>
      <fill>
        <patternFill patternType="none">
          <bgColor auto="1"/>
        </patternFill>
      </fill>
    </dxf>
    <dxf>
      <font>
        <b/>
        <i val="0"/>
        <color rgb="FFFF0000"/>
      </font>
      <fill>
        <patternFill>
          <bgColor rgb="FFFFFF99"/>
        </patternFill>
      </fill>
    </dxf>
    <dxf>
      <font>
        <color theme="0"/>
      </font>
      <border>
        <left style="hair">
          <color auto="1"/>
        </left>
        <right/>
      </border>
    </dxf>
    <dxf>
      <font>
        <b/>
        <i val="0"/>
        <color auto="1"/>
      </font>
      <fill>
        <patternFill>
          <bgColor rgb="FFFFFF99"/>
        </patternFill>
      </fill>
    </dxf>
    <dxf>
      <fill>
        <patternFill patternType="none">
          <bgColor auto="1"/>
        </patternFill>
      </fill>
    </dxf>
    <dxf>
      <font>
        <color theme="0"/>
      </font>
      <border>
        <left style="hair">
          <color auto="1"/>
        </left>
        <right/>
      </border>
    </dxf>
    <dxf>
      <font>
        <b/>
        <i val="0"/>
        <color auto="1"/>
      </font>
      <fill>
        <patternFill>
          <bgColor rgb="FFFFFF99"/>
        </patternFill>
      </fill>
    </dxf>
    <dxf>
      <font>
        <b/>
        <i val="0"/>
        <color rgb="FFFF0000"/>
      </font>
      <fill>
        <patternFill>
          <bgColor rgb="FFFFFF99"/>
        </patternFill>
      </fill>
    </dxf>
    <dxf>
      <font>
        <b/>
        <i val="0"/>
        <color auto="1"/>
      </font>
      <fill>
        <patternFill>
          <bgColor rgb="FFFFFF99"/>
        </patternFill>
      </fill>
    </dxf>
    <dxf>
      <fill>
        <patternFill patternType="none">
          <bgColor auto="1"/>
        </patternFill>
      </fill>
    </dxf>
    <dxf>
      <font>
        <color theme="0"/>
      </font>
      <border>
        <left style="hair">
          <color auto="1"/>
        </left>
        <right/>
      </border>
    </dxf>
    <dxf>
      <font>
        <b/>
        <i val="0"/>
        <color rgb="FFFF0000"/>
      </font>
      <fill>
        <patternFill>
          <bgColor rgb="FFFFFF99"/>
        </patternFill>
      </fill>
    </dxf>
    <dxf>
      <font>
        <b/>
        <i val="0"/>
        <color rgb="FFFF0000"/>
      </font>
      <fill>
        <patternFill>
          <bgColor rgb="FFFFFF99"/>
        </patternFill>
      </fill>
    </dxf>
    <dxf>
      <font>
        <b/>
        <i val="0"/>
        <color auto="1"/>
      </font>
      <fill>
        <patternFill>
          <bgColor rgb="FFFFFF99"/>
        </patternFill>
      </fill>
    </dxf>
    <dxf>
      <fill>
        <patternFill patternType="none">
          <bgColor auto="1"/>
        </patternFill>
      </fill>
    </dxf>
    <dxf>
      <font>
        <color theme="0"/>
      </font>
      <border>
        <left style="hair">
          <color auto="1"/>
        </left>
        <right/>
      </border>
    </dxf>
    <dxf>
      <fill>
        <patternFill patternType="none">
          <bgColor auto="1"/>
        </patternFill>
      </fill>
    </dxf>
    <dxf>
      <font>
        <color theme="0"/>
      </font>
      <border>
        <left style="hair">
          <color auto="1"/>
        </left>
        <right/>
      </border>
    </dxf>
    <dxf>
      <font>
        <b/>
        <i val="0"/>
        <color rgb="FFFF0000"/>
      </font>
      <fill>
        <patternFill>
          <bgColor rgb="FFFFFF99"/>
        </patternFill>
      </fill>
    </dxf>
    <dxf>
      <font>
        <b/>
        <i val="0"/>
        <color auto="1"/>
      </font>
      <fill>
        <patternFill>
          <bgColor rgb="FFFFFF99"/>
        </patternFill>
      </fill>
    </dxf>
    <dxf>
      <font>
        <color theme="0"/>
      </font>
      <border>
        <left style="hair">
          <color auto="1"/>
        </left>
        <right/>
      </border>
    </dxf>
    <dxf>
      <fill>
        <patternFill patternType="none">
          <bgColor auto="1"/>
        </patternFill>
      </fill>
    </dxf>
    <dxf>
      <font>
        <b/>
        <i val="0"/>
        <color auto="1"/>
      </font>
      <fill>
        <patternFill>
          <bgColor rgb="FFFFFF99"/>
        </patternFill>
      </fill>
    </dxf>
    <dxf>
      <font>
        <b/>
        <i val="0"/>
        <color rgb="FFFF0000"/>
      </font>
      <fill>
        <patternFill>
          <bgColor rgb="FFFFFF99"/>
        </patternFill>
      </fill>
    </dxf>
    <dxf>
      <font>
        <color theme="0"/>
      </font>
      <border>
        <left style="hair">
          <color auto="1"/>
        </left>
        <right/>
      </border>
    </dxf>
    <dxf>
      <fill>
        <patternFill patternType="none">
          <bgColor auto="1"/>
        </patternFill>
      </fill>
    </dxf>
    <dxf>
      <font>
        <b/>
        <i val="0"/>
        <color auto="1"/>
      </font>
      <fill>
        <patternFill>
          <bgColor rgb="FFFFFF99"/>
        </patternFill>
      </fill>
    </dxf>
    <dxf>
      <font>
        <b/>
        <i val="0"/>
        <color rgb="FFFF0000"/>
      </font>
      <fill>
        <patternFill>
          <bgColor rgb="FFFFFF99"/>
        </patternFill>
      </fill>
    </dxf>
    <dxf>
      <font>
        <b/>
        <i val="0"/>
        <color rgb="FFFF0000"/>
      </font>
      <fill>
        <patternFill>
          <bgColor rgb="FFFFFF99"/>
        </patternFill>
      </fill>
    </dxf>
    <dxf>
      <font>
        <b/>
        <i val="0"/>
        <color auto="1"/>
      </font>
      <fill>
        <patternFill>
          <bgColor rgb="FFFFFF99"/>
        </patternFill>
      </fill>
    </dxf>
    <dxf>
      <font>
        <color theme="0"/>
      </font>
      <border>
        <left style="hair">
          <color auto="1"/>
        </left>
        <right/>
      </border>
    </dxf>
    <dxf>
      <fill>
        <patternFill patternType="none">
          <bgColor auto="1"/>
        </patternFill>
      </fill>
    </dxf>
    <dxf>
      <fill>
        <patternFill patternType="none">
          <bgColor auto="1"/>
        </patternFill>
      </fill>
    </dxf>
    <dxf>
      <font>
        <color theme="0"/>
      </font>
      <border>
        <left style="hair">
          <color auto="1"/>
        </left>
        <right/>
      </border>
    </dxf>
    <dxf>
      <font>
        <b/>
        <i val="0"/>
        <color auto="1"/>
      </font>
      <fill>
        <patternFill>
          <bgColor rgb="FFFFFF99"/>
        </patternFill>
      </fill>
    </dxf>
    <dxf>
      <font>
        <b/>
        <i val="0"/>
        <color rgb="FFFF0000"/>
      </font>
      <fill>
        <patternFill>
          <bgColor rgb="FFFFFF99"/>
        </patternFill>
      </fill>
    </dxf>
    <dxf>
      <font>
        <b/>
        <i val="0"/>
        <color auto="1"/>
      </font>
      <fill>
        <patternFill>
          <bgColor rgb="FFFFFF99"/>
        </patternFill>
      </fill>
    </dxf>
    <dxf>
      <fill>
        <patternFill patternType="none">
          <bgColor auto="1"/>
        </patternFill>
      </fill>
    </dxf>
    <dxf>
      <font>
        <color theme="0"/>
      </font>
      <border>
        <left style="hair">
          <color auto="1"/>
        </left>
        <right/>
      </border>
    </dxf>
    <dxf>
      <font>
        <b/>
        <i val="0"/>
        <color rgb="FFFF0000"/>
      </font>
      <fill>
        <patternFill>
          <bgColor rgb="FFFFFF99"/>
        </patternFill>
      </fill>
    </dxf>
    <dxf>
      <font>
        <color theme="0"/>
      </font>
      <border>
        <left style="hair">
          <color auto="1"/>
        </left>
        <right/>
      </border>
    </dxf>
    <dxf>
      <font>
        <b/>
        <i val="0"/>
        <color rgb="FFFF0000"/>
      </font>
      <fill>
        <patternFill>
          <bgColor rgb="FFFFFF99"/>
        </patternFill>
      </fill>
    </dxf>
    <dxf>
      <fill>
        <patternFill patternType="none">
          <bgColor auto="1"/>
        </patternFill>
      </fill>
    </dxf>
    <dxf>
      <font>
        <b/>
        <i val="0"/>
        <color auto="1"/>
      </font>
      <fill>
        <patternFill>
          <bgColor rgb="FFFFFF99"/>
        </patternFill>
      </fill>
    </dxf>
    <dxf>
      <fill>
        <patternFill patternType="none">
          <bgColor auto="1"/>
        </patternFill>
      </fill>
    </dxf>
    <dxf>
      <font>
        <b/>
        <i val="0"/>
        <color rgb="FFFF0000"/>
      </font>
      <fill>
        <patternFill>
          <bgColor rgb="FFFFFF99"/>
        </patternFill>
      </fill>
    </dxf>
    <dxf>
      <font>
        <color theme="0"/>
      </font>
      <border>
        <left style="hair">
          <color auto="1"/>
        </left>
        <right/>
      </border>
    </dxf>
    <dxf>
      <font>
        <b/>
        <i val="0"/>
        <color auto="1"/>
      </font>
      <fill>
        <patternFill>
          <bgColor rgb="FFFFFF99"/>
        </patternFill>
      </fill>
    </dxf>
    <dxf>
      <font>
        <color theme="0"/>
      </font>
      <border>
        <left style="hair">
          <color auto="1"/>
        </left>
        <right/>
      </border>
    </dxf>
    <dxf>
      <font>
        <b/>
        <i val="0"/>
        <color auto="1"/>
      </font>
      <fill>
        <patternFill>
          <bgColor rgb="FFFFFF99"/>
        </patternFill>
      </fill>
    </dxf>
    <dxf>
      <fill>
        <patternFill patternType="none">
          <bgColor auto="1"/>
        </patternFill>
      </fill>
    </dxf>
    <dxf>
      <font>
        <b/>
        <i val="0"/>
        <color rgb="FFFF0000"/>
      </font>
      <fill>
        <patternFill>
          <bgColor rgb="FFFFFF99"/>
        </patternFill>
      </fill>
    </dxf>
    <dxf>
      <fill>
        <patternFill patternType="none">
          <bgColor auto="1"/>
        </patternFill>
      </fill>
    </dxf>
    <dxf>
      <font>
        <color theme="0"/>
      </font>
      <border>
        <left style="hair">
          <color auto="1"/>
        </left>
        <right/>
      </border>
    </dxf>
    <dxf>
      <font>
        <b/>
        <i val="0"/>
        <color auto="1"/>
      </font>
      <fill>
        <patternFill>
          <bgColor rgb="FFFFFF99"/>
        </patternFill>
      </fill>
    </dxf>
    <dxf>
      <font>
        <b/>
        <i val="0"/>
        <color rgb="FFFF0000"/>
      </font>
      <fill>
        <patternFill>
          <bgColor rgb="FFFFFF99"/>
        </patternFill>
      </fill>
    </dxf>
    <dxf>
      <fill>
        <patternFill patternType="none">
          <bgColor auto="1"/>
        </patternFill>
      </fill>
    </dxf>
    <dxf>
      <font>
        <color theme="0"/>
      </font>
      <border>
        <left style="hair">
          <color auto="1"/>
        </left>
        <right/>
      </border>
    </dxf>
    <dxf>
      <font>
        <b/>
        <i val="0"/>
        <color rgb="FFFF0000"/>
      </font>
      <fill>
        <patternFill>
          <bgColor rgb="FFFFFF99"/>
        </patternFill>
      </fill>
    </dxf>
    <dxf>
      <font>
        <b/>
        <i val="0"/>
        <color auto="1"/>
      </font>
      <fill>
        <patternFill>
          <bgColor rgb="FFFFFF99"/>
        </patternFill>
      </fill>
    </dxf>
    <dxf>
      <fill>
        <patternFill patternType="none">
          <bgColor auto="1"/>
        </patternFill>
      </fill>
    </dxf>
    <dxf>
      <font>
        <color theme="0"/>
      </font>
      <border>
        <left style="hair">
          <color auto="1"/>
        </left>
        <right/>
      </border>
    </dxf>
    <dxf>
      <font>
        <b/>
        <i val="0"/>
        <color rgb="FFFF0000"/>
      </font>
      <fill>
        <patternFill>
          <bgColor rgb="FFFFFF99"/>
        </patternFill>
      </fill>
    </dxf>
    <dxf>
      <font>
        <b/>
        <i val="0"/>
        <color auto="1"/>
      </font>
      <fill>
        <patternFill>
          <bgColor rgb="FFFFFF99"/>
        </patternFill>
      </fill>
    </dxf>
    <dxf>
      <font>
        <b/>
        <i val="0"/>
        <color rgb="FFFF0000"/>
      </font>
      <fill>
        <patternFill>
          <bgColor rgb="FFFFFF99"/>
        </patternFill>
      </fill>
    </dxf>
    <dxf>
      <font>
        <b/>
        <i val="0"/>
        <color auto="1"/>
      </font>
      <fill>
        <patternFill>
          <bgColor rgb="FFFFFF99"/>
        </patternFill>
      </fill>
    </dxf>
    <dxf>
      <font>
        <color theme="0"/>
      </font>
      <border>
        <left style="hair">
          <color auto="1"/>
        </left>
        <right/>
      </border>
    </dxf>
    <dxf>
      <fill>
        <patternFill patternType="none">
          <bgColor auto="1"/>
        </patternFill>
      </fill>
    </dxf>
    <dxf>
      <fill>
        <patternFill patternType="none">
          <bgColor auto="1"/>
        </patternFill>
      </fill>
    </dxf>
    <dxf>
      <font>
        <color theme="0"/>
      </font>
      <border>
        <left style="hair">
          <color auto="1"/>
        </left>
        <right/>
      </border>
    </dxf>
    <dxf>
      <font>
        <b/>
        <i val="0"/>
        <color auto="1"/>
      </font>
      <fill>
        <patternFill>
          <bgColor rgb="FFFFFF99"/>
        </patternFill>
      </fill>
    </dxf>
    <dxf>
      <font>
        <b/>
        <i val="0"/>
        <color rgb="FFFF0000"/>
      </font>
      <fill>
        <patternFill>
          <bgColor rgb="FFFFFF99"/>
        </patternFill>
      </fill>
    </dxf>
    <dxf>
      <fill>
        <patternFill patternType="none">
          <bgColor auto="1"/>
        </patternFill>
      </fill>
    </dxf>
    <dxf>
      <font>
        <color theme="0"/>
      </font>
      <border>
        <left style="hair">
          <color auto="1"/>
        </left>
        <right/>
      </border>
    </dxf>
    <dxf>
      <font>
        <b/>
        <i val="0"/>
        <color auto="1"/>
      </font>
      <fill>
        <patternFill>
          <bgColor rgb="FFFFFF99"/>
        </patternFill>
      </fill>
    </dxf>
    <dxf>
      <font>
        <b/>
        <i val="0"/>
        <color rgb="FFFF0000"/>
      </font>
      <fill>
        <patternFill>
          <bgColor rgb="FFFFFF99"/>
        </patternFill>
      </fill>
    </dxf>
    <dxf>
      <font>
        <color theme="0"/>
      </font>
      <border>
        <left style="hair">
          <color auto="1"/>
        </left>
        <right/>
      </border>
    </dxf>
    <dxf>
      <fill>
        <patternFill patternType="none">
          <bgColor auto="1"/>
        </patternFill>
      </fill>
    </dxf>
    <dxf>
      <font>
        <b/>
        <i val="0"/>
        <color rgb="FFFF0000"/>
      </font>
      <fill>
        <patternFill>
          <bgColor rgb="FFFFFF99"/>
        </patternFill>
      </fill>
    </dxf>
    <dxf>
      <font>
        <b/>
        <i val="0"/>
        <color auto="1"/>
      </font>
      <fill>
        <patternFill>
          <bgColor rgb="FFFFFF99"/>
        </patternFill>
      </fill>
    </dxf>
    <dxf>
      <fill>
        <patternFill patternType="none">
          <bgColor auto="1"/>
        </patternFill>
      </fill>
    </dxf>
    <dxf>
      <font>
        <color theme="0"/>
      </font>
      <border>
        <left style="hair">
          <color auto="1"/>
        </left>
        <right/>
      </border>
    </dxf>
    <dxf>
      <font>
        <b/>
        <i val="0"/>
        <color auto="1"/>
      </font>
      <fill>
        <patternFill>
          <bgColor rgb="FFFFFF99"/>
        </patternFill>
      </fill>
    </dxf>
    <dxf>
      <font>
        <b/>
        <i val="0"/>
        <color rgb="FFFF0000"/>
      </font>
      <fill>
        <patternFill>
          <bgColor rgb="FFFFFF99"/>
        </patternFill>
      </fill>
    </dxf>
    <dxf>
      <fill>
        <patternFill patternType="none">
          <bgColor auto="1"/>
        </patternFill>
      </fill>
    </dxf>
    <dxf>
      <font>
        <b/>
        <i val="0"/>
        <color rgb="FFFF0000"/>
      </font>
      <fill>
        <patternFill>
          <bgColor rgb="FFFFFF99"/>
        </patternFill>
      </fill>
    </dxf>
    <dxf>
      <font>
        <b/>
        <i val="0"/>
        <color auto="1"/>
      </font>
      <fill>
        <patternFill>
          <bgColor rgb="FFFFFF99"/>
        </patternFill>
      </fill>
    </dxf>
    <dxf>
      <font>
        <color theme="0"/>
      </font>
      <border>
        <left style="hair">
          <color auto="1"/>
        </left>
        <right/>
      </border>
    </dxf>
    <dxf>
      <font>
        <color theme="1" tint="0.499984740745262"/>
      </font>
      <fill>
        <patternFill>
          <bgColor rgb="FFFFFF99"/>
        </patternFill>
      </fill>
    </dxf>
    <dxf>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strike val="0"/>
        <color auto="1"/>
      </font>
      <fill>
        <patternFill>
          <bgColor rgb="FFFFFF99"/>
        </patternFill>
      </fill>
    </dxf>
    <dxf>
      <font>
        <b/>
        <i val="0"/>
      </font>
      <fill>
        <patternFill>
          <bgColor rgb="FFFFFF99"/>
        </patternFill>
      </fill>
    </dxf>
    <dxf>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b/>
        <i val="0"/>
        <color rgb="FFFF0000"/>
      </font>
      <fill>
        <patternFill>
          <bgColor rgb="FFFFFF00"/>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color theme="1" tint="0.499984740745262"/>
      </font>
      <fill>
        <patternFill>
          <bgColor rgb="FFFFFF99"/>
        </patternFill>
      </fill>
    </dxf>
    <dxf>
      <font>
        <b/>
        <i/>
        <u val="none"/>
        <color rgb="FF0033CC"/>
      </font>
      <fill>
        <patternFill patternType="none">
          <bgColor auto="1"/>
        </patternFill>
      </fill>
    </dxf>
    <dxf>
      <font>
        <b/>
        <i/>
        <u val="none"/>
        <color rgb="FF0033CC"/>
      </font>
      <fill>
        <patternFill patternType="none">
          <bgColor auto="1"/>
        </patternFill>
      </fill>
    </dxf>
    <dxf>
      <font>
        <b/>
        <i/>
        <u val="none"/>
        <color rgb="FF0033CC"/>
      </font>
      <fill>
        <patternFill patternType="none">
          <bgColor auto="1"/>
        </patternFill>
      </fill>
    </dxf>
    <dxf>
      <font>
        <b/>
        <i val="0"/>
        <color auto="1"/>
      </font>
      <fill>
        <patternFill>
          <bgColor rgb="FFFFFF99"/>
        </patternFill>
      </fill>
    </dxf>
    <dxf>
      <fill>
        <patternFill patternType="solid">
          <fgColor auto="1"/>
          <bgColor rgb="FFFFFF99"/>
        </patternFill>
      </fill>
    </dxf>
    <dxf>
      <fill>
        <patternFill>
          <bgColor rgb="FFFFFF99"/>
        </patternFill>
      </fill>
    </dxf>
    <dxf>
      <font>
        <color theme="1" tint="0.499984740745262"/>
      </font>
      <fill>
        <patternFill>
          <bgColor rgb="FFFFFF99"/>
        </patternFill>
      </fill>
    </dxf>
    <dxf>
      <font>
        <b/>
        <i val="0"/>
        <color auto="1"/>
      </font>
      <fill>
        <patternFill>
          <bgColor rgb="FFFFFF99"/>
        </patternFill>
      </fill>
    </dxf>
    <dxf>
      <font>
        <color theme="1" tint="0.499984740745262"/>
      </font>
      <fill>
        <patternFill>
          <bgColor rgb="FFFFFF99"/>
        </patternFill>
      </fill>
    </dxf>
    <dxf>
      <font>
        <b/>
        <i val="0"/>
        <color auto="1"/>
      </font>
      <fill>
        <patternFill>
          <bgColor rgb="FFFFFF99"/>
        </patternFill>
      </fill>
    </dxf>
    <dxf>
      <font>
        <b/>
        <i val="0"/>
        <color auto="1"/>
      </font>
      <fill>
        <patternFill>
          <bgColor rgb="FFFFFF99"/>
        </patternFill>
      </fill>
    </dxf>
    <dxf>
      <font>
        <b/>
        <i val="0"/>
        <color auto="1"/>
      </font>
      <fill>
        <patternFill>
          <bgColor rgb="FFFFFF99"/>
        </patternFill>
      </fill>
    </dxf>
  </dxfs>
  <tableStyles count="0" defaultTableStyle="TableStyleMedium2" defaultPivotStyle="PivotStyleLight16"/>
  <colors>
    <mruColors>
      <color rgb="FFFFCCFF"/>
      <color rgb="FF99CCFF"/>
      <color rgb="FFCCECFF"/>
      <color rgb="FFFDEFE7"/>
      <color rgb="FFFFCCCC"/>
      <color rgb="FFFFFF99"/>
      <color rgb="FFFFFF66"/>
      <color rgb="FFFFCC99"/>
      <color rgb="FF0033CC"/>
      <color rgb="FF0066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5.jpeg"/></Relationships>
</file>

<file path=xl/drawings/_rels/drawing5.xml.rels><?xml version="1.0" encoding="UTF-8" standalone="yes"?>
<Relationships xmlns="http://schemas.openxmlformats.org/package/2006/relationships"><Relationship Id="rId1" Type="http://schemas.openxmlformats.org/officeDocument/2006/relationships/image" Target="../media/image6.jpeg"/></Relationships>
</file>

<file path=xl/drawings/_rels/drawing6.xml.rels><?xml version="1.0" encoding="UTF-8" standalone="yes"?>
<Relationships xmlns="http://schemas.openxmlformats.org/package/2006/relationships"><Relationship Id="rId1" Type="http://schemas.openxmlformats.org/officeDocument/2006/relationships/image" Target="../media/image7.jpeg"/></Relationships>
</file>

<file path=xl/drawings/_rels/drawing7.xml.rels><?xml version="1.0" encoding="UTF-8" standalone="yes"?>
<Relationships xmlns="http://schemas.openxmlformats.org/package/2006/relationships"><Relationship Id="rId1" Type="http://schemas.openxmlformats.org/officeDocument/2006/relationships/image" Target="../media/image7.jpeg"/></Relationships>
</file>

<file path=xl/drawings/_rels/drawing8.xml.rels><?xml version="1.0" encoding="UTF-8" standalone="yes"?>
<Relationships xmlns="http://schemas.openxmlformats.org/package/2006/relationships"><Relationship Id="rId1" Type="http://schemas.openxmlformats.org/officeDocument/2006/relationships/image" Target="../media/image7.jpeg"/></Relationships>
</file>

<file path=xl/drawings/_rels/drawing9.xml.rels><?xml version="1.0" encoding="UTF-8" standalone="yes"?>
<Relationships xmlns="http://schemas.openxmlformats.org/package/2006/relationships"><Relationship Id="rId1" Type="http://schemas.openxmlformats.org/officeDocument/2006/relationships/image" Target="../media/image7.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7.jpeg"/></Relationships>
</file>

<file path=xl/drawings/drawing1.xml><?xml version="1.0" encoding="utf-8"?>
<xdr:wsDr xmlns:xdr="http://schemas.openxmlformats.org/drawingml/2006/spreadsheetDrawing" xmlns:a="http://schemas.openxmlformats.org/drawingml/2006/main">
  <xdr:twoCellAnchor>
    <xdr:from>
      <xdr:col>8</xdr:col>
      <xdr:colOff>76762</xdr:colOff>
      <xdr:row>4</xdr:row>
      <xdr:rowOff>260351</xdr:rowOff>
    </xdr:from>
    <xdr:to>
      <xdr:col>11</xdr:col>
      <xdr:colOff>758825</xdr:colOff>
      <xdr:row>7</xdr:row>
      <xdr:rowOff>136526</xdr:rowOff>
    </xdr:to>
    <xdr:sp macro="" textlink="">
      <xdr:nvSpPr>
        <xdr:cNvPr id="3" name="四角形: 角を丸くする 2">
          <a:extLst>
            <a:ext uri="{FF2B5EF4-FFF2-40B4-BE49-F238E27FC236}">
              <a16:creationId xmlns:a16="http://schemas.microsoft.com/office/drawing/2014/main" id="{5991E8C0-F492-45A4-9043-822ACF5DE6E4}"/>
            </a:ext>
          </a:extLst>
        </xdr:cNvPr>
        <xdr:cNvSpPr/>
      </xdr:nvSpPr>
      <xdr:spPr>
        <a:xfrm>
          <a:off x="7258612" y="1241426"/>
          <a:ext cx="4101538" cy="1133475"/>
        </a:xfrm>
        <a:prstGeom prst="roundRect">
          <a:avLst>
            <a:gd name="adj" fmla="val 9292"/>
          </a:avLst>
        </a:prstGeom>
        <a:solidFill>
          <a:srgbClr val="4472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lstStyle/>
        <a:p>
          <a:r>
            <a:rPr lang="ja-JP" altLang="en-US" sz="1000">
              <a:solidFill>
                <a:schemeClr val="lt1"/>
              </a:solidFill>
              <a:effectLst/>
              <a:latin typeface="Meiryo UI" panose="020B0604030504040204" pitchFamily="50" charset="-128"/>
              <a:ea typeface="Meiryo UI" panose="020B0604030504040204" pitchFamily="50" charset="-128"/>
              <a:cs typeface="+mn-cs"/>
            </a:rPr>
            <a:t>招へい前後に実施するオンライン交流の有無を選択してください。</a:t>
          </a:r>
          <a:endParaRPr lang="en-US" altLang="ja-JP" sz="1000">
            <a:solidFill>
              <a:schemeClr val="lt1"/>
            </a:solidFill>
            <a:effectLst/>
            <a:latin typeface="Meiryo UI" panose="020B0604030504040204" pitchFamily="50" charset="-128"/>
            <a:ea typeface="Meiryo UI" panose="020B0604030504040204" pitchFamily="50" charset="-128"/>
            <a:cs typeface="+mn-cs"/>
          </a:endParaRPr>
        </a:p>
        <a:p>
          <a:r>
            <a:rPr lang="ja-JP" altLang="en-US" sz="1000">
              <a:solidFill>
                <a:schemeClr val="lt1"/>
              </a:solidFill>
              <a:effectLst/>
              <a:latin typeface="Meiryo UI" panose="020B0604030504040204" pitchFamily="50" charset="-128"/>
              <a:ea typeface="Meiryo UI" panose="020B0604030504040204" pitchFamily="50" charset="-128"/>
              <a:cs typeface="+mn-cs"/>
            </a:rPr>
            <a:t>実施する場合は、実施協定書における発効日、各報告書の提出期限に関わるため、招へい前後に実施するオンライン交流の開始日と終了日の日付を明確に記載してください。準備期間は含みません。</a:t>
          </a:r>
          <a:endParaRPr lang="en-US" altLang="ja-JP" sz="1000">
            <a:solidFill>
              <a:schemeClr val="lt1"/>
            </a:solidFill>
            <a:effectLst/>
            <a:latin typeface="Meiryo UI" panose="020B0604030504040204" pitchFamily="50" charset="-128"/>
            <a:ea typeface="Meiryo UI" panose="020B0604030504040204" pitchFamily="50" charset="-128"/>
            <a:cs typeface="+mn-cs"/>
          </a:endParaRPr>
        </a:p>
      </xdr:txBody>
    </xdr:sp>
    <xdr:clientData fPrintsWithSheet="0"/>
  </xdr:twoCellAnchor>
  <xdr:twoCellAnchor>
    <xdr:from>
      <xdr:col>6</xdr:col>
      <xdr:colOff>1009650</xdr:colOff>
      <xdr:row>7</xdr:row>
      <xdr:rowOff>9431</xdr:rowOff>
    </xdr:from>
    <xdr:to>
      <xdr:col>9</xdr:col>
      <xdr:colOff>113169</xdr:colOff>
      <xdr:row>8</xdr:row>
      <xdr:rowOff>95250</xdr:rowOff>
    </xdr:to>
    <xdr:cxnSp macro="">
      <xdr:nvCxnSpPr>
        <xdr:cNvPr id="4" name="直線矢印コネクタ 3">
          <a:extLst>
            <a:ext uri="{FF2B5EF4-FFF2-40B4-BE49-F238E27FC236}">
              <a16:creationId xmlns:a16="http://schemas.microsoft.com/office/drawing/2014/main" id="{FA049B04-7A1F-4FAF-BBC1-A7D1724B7636}"/>
            </a:ext>
          </a:extLst>
        </xdr:cNvPr>
        <xdr:cNvCxnSpPr/>
      </xdr:nvCxnSpPr>
      <xdr:spPr>
        <a:xfrm flipH="1">
          <a:off x="6668066" y="2206782"/>
          <a:ext cx="782182" cy="500770"/>
        </a:xfrm>
        <a:prstGeom prst="straightConnector1">
          <a:avLst/>
        </a:prstGeom>
        <a:ln w="25400">
          <a:tailEnd type="stealth" w="lg" len="lg"/>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editAs="oneCell">
    <xdr:from>
      <xdr:col>6</xdr:col>
      <xdr:colOff>1011348</xdr:colOff>
      <xdr:row>4</xdr:row>
      <xdr:rowOff>132218</xdr:rowOff>
    </xdr:from>
    <xdr:to>
      <xdr:col>6</xdr:col>
      <xdr:colOff>1297743</xdr:colOff>
      <xdr:row>4</xdr:row>
      <xdr:rowOff>251598</xdr:rowOff>
    </xdr:to>
    <xdr:pic>
      <xdr:nvPicPr>
        <xdr:cNvPr id="6" name="図 5">
          <a:extLst>
            <a:ext uri="{FF2B5EF4-FFF2-40B4-BE49-F238E27FC236}">
              <a16:creationId xmlns:a16="http://schemas.microsoft.com/office/drawing/2014/main" id="{20FA568A-7BE2-477E-ACFC-2B8C1572F699}"/>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6669764" y="1103579"/>
          <a:ext cx="286395" cy="119380"/>
        </a:xfrm>
        <a:prstGeom prst="rect">
          <a:avLst/>
        </a:prstGeom>
      </xdr:spPr>
    </xdr:pic>
    <xdr:clientData/>
  </xdr:twoCellAnchor>
  <xdr:twoCellAnchor editAs="oneCell">
    <xdr:from>
      <xdr:col>6</xdr:col>
      <xdr:colOff>1011348</xdr:colOff>
      <xdr:row>4</xdr:row>
      <xdr:rowOff>132218</xdr:rowOff>
    </xdr:from>
    <xdr:to>
      <xdr:col>6</xdr:col>
      <xdr:colOff>1297743</xdr:colOff>
      <xdr:row>4</xdr:row>
      <xdr:rowOff>251598</xdr:rowOff>
    </xdr:to>
    <xdr:pic>
      <xdr:nvPicPr>
        <xdr:cNvPr id="5" name="図 4">
          <a:extLst>
            <a:ext uri="{FF2B5EF4-FFF2-40B4-BE49-F238E27FC236}">
              <a16:creationId xmlns:a16="http://schemas.microsoft.com/office/drawing/2014/main" id="{4BD2212D-2DAD-4D0D-9D99-1FD58B92260F}"/>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6659673" y="1113293"/>
          <a:ext cx="286395" cy="1193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76200</xdr:colOff>
      <xdr:row>46</xdr:row>
      <xdr:rowOff>28576</xdr:rowOff>
    </xdr:from>
    <xdr:to>
      <xdr:col>8</xdr:col>
      <xdr:colOff>2540000</xdr:colOff>
      <xdr:row>52</xdr:row>
      <xdr:rowOff>57150</xdr:rowOff>
    </xdr:to>
    <xdr:sp macro="" textlink="">
      <xdr:nvSpPr>
        <xdr:cNvPr id="4" name="四角形: 角を丸くする 3">
          <a:extLst>
            <a:ext uri="{FF2B5EF4-FFF2-40B4-BE49-F238E27FC236}">
              <a16:creationId xmlns:a16="http://schemas.microsoft.com/office/drawing/2014/main" id="{72241434-43BE-4CC6-AFD3-268AAEE06E11}"/>
            </a:ext>
          </a:extLst>
        </xdr:cNvPr>
        <xdr:cNvSpPr/>
      </xdr:nvSpPr>
      <xdr:spPr>
        <a:xfrm>
          <a:off x="7943850" y="11217276"/>
          <a:ext cx="2628900" cy="1171574"/>
        </a:xfrm>
        <a:prstGeom prst="roundRect">
          <a:avLst>
            <a:gd name="adj" fmla="val 865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nSpc>
              <a:spcPts val="1400"/>
            </a:lnSpc>
          </a:pP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r>
            <a:rPr kumimoji="1" lang="ja-JP" altLang="ja-JP" sz="1000" b="0">
              <a:solidFill>
                <a:schemeClr val="bg1"/>
              </a:solidFill>
              <a:effectLst/>
              <a:latin typeface="Meiryo UI" panose="020B0604030504040204" pitchFamily="50" charset="-128"/>
              <a:ea typeface="Meiryo UI" panose="020B0604030504040204" pitchFamily="50" charset="-128"/>
              <a:cs typeface="+mn-cs"/>
            </a:rPr>
            <a:t>注意</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p>
        <a:p>
          <a:pPr>
            <a:lnSpc>
              <a:spcPts val="1400"/>
            </a:lnSpc>
          </a:pPr>
          <a:r>
            <a:rPr kumimoji="1" lang="ja-JP" altLang="en-US" sz="1000" b="0">
              <a:solidFill>
                <a:schemeClr val="bg1"/>
              </a:solidFill>
              <a:effectLst/>
              <a:latin typeface="Meiryo UI" panose="020B0604030504040204" pitchFamily="50" charset="-128"/>
              <a:ea typeface="Meiryo UI" panose="020B0604030504040204" pitchFamily="50" charset="-128"/>
              <a:cs typeface="+mn-cs"/>
            </a:rPr>
            <a:t>印刷範囲の初期設定は送出し機関</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4</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までとなっています。送出し機関</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5</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以降に記入する場合は、印刷範囲を変更してください。</a:t>
          </a:r>
          <a:endParaRPr kumimoji="1" lang="ja-JP" altLang="en-US" sz="1000" b="0">
            <a:solidFill>
              <a:schemeClr val="bg1"/>
            </a:solidFill>
          </a:endParaRPr>
        </a:p>
      </xdr:txBody>
    </xdr:sp>
    <xdr:clientData fLocksWithSheet="0" fPrintsWithSheet="0"/>
  </xdr:twoCellAnchor>
  <xdr:twoCellAnchor editAs="oneCell">
    <xdr:from>
      <xdr:col>6</xdr:col>
      <xdr:colOff>142875</xdr:colOff>
      <xdr:row>0</xdr:row>
      <xdr:rowOff>38100</xdr:rowOff>
    </xdr:from>
    <xdr:to>
      <xdr:col>6</xdr:col>
      <xdr:colOff>324082</xdr:colOff>
      <xdr:row>0</xdr:row>
      <xdr:rowOff>111370</xdr:rowOff>
    </xdr:to>
    <xdr:pic>
      <xdr:nvPicPr>
        <xdr:cNvPr id="3" name="図 2">
          <a:extLst>
            <a:ext uri="{FF2B5EF4-FFF2-40B4-BE49-F238E27FC236}">
              <a16:creationId xmlns:a16="http://schemas.microsoft.com/office/drawing/2014/main" id="{093FAFCA-6F8A-4C19-ABE4-7CA8E4A20FCF}"/>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6543675" y="38100"/>
          <a:ext cx="181207" cy="73270"/>
        </a:xfrm>
        <a:prstGeom prst="rect">
          <a:avLst/>
        </a:prstGeom>
      </xdr:spPr>
    </xdr:pic>
    <xdr:clientData/>
  </xdr:twoCellAnchor>
  <xdr:twoCellAnchor editAs="oneCell">
    <xdr:from>
      <xdr:col>7</xdr:col>
      <xdr:colOff>61597</xdr:colOff>
      <xdr:row>2</xdr:row>
      <xdr:rowOff>114934</xdr:rowOff>
    </xdr:from>
    <xdr:to>
      <xdr:col>8</xdr:col>
      <xdr:colOff>2546351</xdr:colOff>
      <xdr:row>7</xdr:row>
      <xdr:rowOff>63499</xdr:rowOff>
    </xdr:to>
    <xdr:sp macro="" textlink="">
      <xdr:nvSpPr>
        <xdr:cNvPr id="2" name="四角形: 角を丸くする 1">
          <a:extLst>
            <a:ext uri="{FF2B5EF4-FFF2-40B4-BE49-F238E27FC236}">
              <a16:creationId xmlns:a16="http://schemas.microsoft.com/office/drawing/2014/main" id="{117EBEFE-6351-4307-92E4-144E4AC38A49}"/>
            </a:ext>
          </a:extLst>
        </xdr:cNvPr>
        <xdr:cNvSpPr/>
      </xdr:nvSpPr>
      <xdr:spPr>
        <a:xfrm>
          <a:off x="7929247" y="534034"/>
          <a:ext cx="2649854" cy="901065"/>
        </a:xfrm>
        <a:prstGeom prst="roundRect">
          <a:avLst>
            <a:gd name="adj" fmla="val 129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nSpc>
              <a:spcPts val="1400"/>
            </a:lnSpc>
          </a:pP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r>
            <a:rPr kumimoji="1" lang="ja-JP" altLang="ja-JP" sz="1000" b="0">
              <a:solidFill>
                <a:schemeClr val="bg1"/>
              </a:solidFill>
              <a:effectLst/>
              <a:latin typeface="Meiryo UI" panose="020B0604030504040204" pitchFamily="50" charset="-128"/>
              <a:ea typeface="Meiryo UI" panose="020B0604030504040204" pitchFamily="50" charset="-128"/>
              <a:cs typeface="+mn-cs"/>
            </a:rPr>
            <a:t>注意</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p>
        <a:p>
          <a:pPr>
            <a:lnSpc>
              <a:spcPts val="1400"/>
            </a:lnSpc>
          </a:pPr>
          <a:r>
            <a:rPr kumimoji="1" lang="ja-JP" altLang="en-US" sz="1000" b="0">
              <a:solidFill>
                <a:schemeClr val="bg1"/>
              </a:solidFill>
              <a:effectLst/>
              <a:latin typeface="Meiryo UI" panose="020B0604030504040204" pitchFamily="50" charset="-128"/>
              <a:ea typeface="Meiryo UI" panose="020B0604030504040204" pitchFamily="50" charset="-128"/>
              <a:cs typeface="+mn-cs"/>
            </a:rPr>
            <a:t>「外国ユーザーリスト」に掲載されている企業・組織等は申請できません。</a:t>
          </a:r>
        </a:p>
      </xdr:txBody>
    </xdr:sp>
    <xdr:clientData fLocksWithSheet="0" fPrintsWithSheet="0"/>
  </xdr:twoCellAnchor>
</xdr:wsDr>
</file>

<file path=xl/drawings/drawing3.xml><?xml version="1.0" encoding="utf-8"?>
<xdr:wsDr xmlns:xdr="http://schemas.openxmlformats.org/drawingml/2006/spreadsheetDrawing" xmlns:a="http://schemas.openxmlformats.org/drawingml/2006/main">
  <xdr:twoCellAnchor editAs="oneCell">
    <xdr:from>
      <xdr:col>10</xdr:col>
      <xdr:colOff>152400</xdr:colOff>
      <xdr:row>0</xdr:row>
      <xdr:rowOff>47625</xdr:rowOff>
    </xdr:from>
    <xdr:to>
      <xdr:col>10</xdr:col>
      <xdr:colOff>343762</xdr:colOff>
      <xdr:row>0</xdr:row>
      <xdr:rowOff>120895</xdr:rowOff>
    </xdr:to>
    <xdr:pic>
      <xdr:nvPicPr>
        <xdr:cNvPr id="5" name="図 4">
          <a:extLst>
            <a:ext uri="{FF2B5EF4-FFF2-40B4-BE49-F238E27FC236}">
              <a16:creationId xmlns:a16="http://schemas.microsoft.com/office/drawing/2014/main" id="{4661961F-EBE2-4E43-8F56-A54F87647204}"/>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6762750" y="47625"/>
          <a:ext cx="191362" cy="73270"/>
        </a:xfrm>
        <a:prstGeom prst="rect">
          <a:avLst/>
        </a:prstGeom>
      </xdr:spPr>
    </xdr:pic>
    <xdr:clientData/>
  </xdr:twoCellAnchor>
  <xdr:twoCellAnchor editAs="oneCell">
    <xdr:from>
      <xdr:col>15</xdr:col>
      <xdr:colOff>82643</xdr:colOff>
      <xdr:row>6</xdr:row>
      <xdr:rowOff>108738</xdr:rowOff>
    </xdr:from>
    <xdr:to>
      <xdr:col>15</xdr:col>
      <xdr:colOff>4371597</xdr:colOff>
      <xdr:row>31</xdr:row>
      <xdr:rowOff>19050</xdr:rowOff>
    </xdr:to>
    <xdr:pic>
      <xdr:nvPicPr>
        <xdr:cNvPr id="3" name="図 2">
          <a:extLst>
            <a:ext uri="{FF2B5EF4-FFF2-40B4-BE49-F238E27FC236}">
              <a16:creationId xmlns:a16="http://schemas.microsoft.com/office/drawing/2014/main" id="{7D01EFF0-D51D-4616-B811-B0FC09E8187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a:ext>
          </a:extLst>
        </a:blip>
        <a:srcRect t="-478"/>
        <a:stretch/>
      </xdr:blipFill>
      <xdr:spPr>
        <a:xfrm>
          <a:off x="8407493" y="1280313"/>
          <a:ext cx="4288954" cy="204391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1116405</xdr:colOff>
      <xdr:row>0</xdr:row>
      <xdr:rowOff>35742</xdr:rowOff>
    </xdr:from>
    <xdr:to>
      <xdr:col>4</xdr:col>
      <xdr:colOff>1403271</xdr:colOff>
      <xdr:row>0</xdr:row>
      <xdr:rowOff>124876</xdr:rowOff>
    </xdr:to>
    <xdr:pic>
      <xdr:nvPicPr>
        <xdr:cNvPr id="4" name="図 3">
          <a:extLst>
            <a:ext uri="{FF2B5EF4-FFF2-40B4-BE49-F238E27FC236}">
              <a16:creationId xmlns:a16="http://schemas.microsoft.com/office/drawing/2014/main" id="{1B33EA37-78D7-43BD-BA6D-788E7697F744}"/>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6526605" y="35742"/>
          <a:ext cx="286866" cy="8913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132079</xdr:colOff>
      <xdr:row>0</xdr:row>
      <xdr:rowOff>47625</xdr:rowOff>
    </xdr:from>
    <xdr:to>
      <xdr:col>5</xdr:col>
      <xdr:colOff>460410</xdr:colOff>
      <xdr:row>0</xdr:row>
      <xdr:rowOff>145850</xdr:rowOff>
    </xdr:to>
    <xdr:pic>
      <xdr:nvPicPr>
        <xdr:cNvPr id="5" name="図 4">
          <a:extLst>
            <a:ext uri="{FF2B5EF4-FFF2-40B4-BE49-F238E27FC236}">
              <a16:creationId xmlns:a16="http://schemas.microsoft.com/office/drawing/2014/main" id="{82A38650-2010-453E-A04A-564B33D34F91}"/>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7161529" y="47625"/>
          <a:ext cx="328331" cy="98225"/>
        </a:xfrm>
        <a:prstGeom prst="rect">
          <a:avLst/>
        </a:prstGeom>
      </xdr:spPr>
    </xdr:pic>
    <xdr:clientData/>
  </xdr:twoCellAnchor>
  <xdr:twoCellAnchor editAs="oneCell">
    <xdr:from>
      <xdr:col>6</xdr:col>
      <xdr:colOff>69850</xdr:colOff>
      <xdr:row>2</xdr:row>
      <xdr:rowOff>12700</xdr:rowOff>
    </xdr:from>
    <xdr:to>
      <xdr:col>8</xdr:col>
      <xdr:colOff>2716529</xdr:colOff>
      <xdr:row>7</xdr:row>
      <xdr:rowOff>95250</xdr:rowOff>
    </xdr:to>
    <xdr:sp macro="" textlink="">
      <xdr:nvSpPr>
        <xdr:cNvPr id="2" name="四角形: 角を丸くする 1">
          <a:extLst>
            <a:ext uri="{FF2B5EF4-FFF2-40B4-BE49-F238E27FC236}">
              <a16:creationId xmlns:a16="http://schemas.microsoft.com/office/drawing/2014/main" id="{24004FE7-77F4-40CB-AD4C-8B1500E18E58}"/>
            </a:ext>
          </a:extLst>
        </xdr:cNvPr>
        <xdr:cNvSpPr/>
      </xdr:nvSpPr>
      <xdr:spPr>
        <a:xfrm>
          <a:off x="8496300" y="431800"/>
          <a:ext cx="2799079" cy="1416050"/>
        </a:xfrm>
        <a:prstGeom prst="roundRect">
          <a:avLst>
            <a:gd name="adj" fmla="val 9404"/>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nSpc>
              <a:spcPts val="1400"/>
            </a:lnSpc>
          </a:pPr>
          <a:r>
            <a:rPr kumimoji="1" lang="ja-JP" altLang="en-US" sz="1000" b="0">
              <a:solidFill>
                <a:schemeClr val="bg1"/>
              </a:solidFill>
              <a:effectLst/>
              <a:latin typeface="Meiryo UI" panose="020B0604030504040204" pitchFamily="50" charset="-128"/>
              <a:ea typeface="Meiryo UI" panose="020B0604030504040204" pitchFamily="50" charset="-128"/>
              <a:cs typeface="+mn-cs"/>
            </a:rPr>
            <a:t>実施場所、宿泊先は具体的な訪問先、施設名としてください。確定していない場合は、市区町村名としてください。</a:t>
          </a:r>
        </a:p>
        <a:p>
          <a:pPr>
            <a:lnSpc>
              <a:spcPts val="1400"/>
            </a:lnSpc>
          </a:pPr>
          <a:endParaRPr kumimoji="1" lang="ja-JP" altLang="en-US" sz="1000" b="0">
            <a:solidFill>
              <a:schemeClr val="bg1"/>
            </a:solidFill>
            <a:effectLst/>
            <a:latin typeface="Meiryo UI" panose="020B0604030504040204" pitchFamily="50" charset="-128"/>
            <a:ea typeface="Meiryo UI" panose="020B0604030504040204" pitchFamily="50" charset="-128"/>
            <a:cs typeface="+mn-cs"/>
          </a:endParaRPr>
        </a:p>
        <a:p>
          <a:pPr>
            <a:lnSpc>
              <a:spcPts val="1400"/>
            </a:lnSpc>
          </a:pPr>
          <a:r>
            <a:rPr kumimoji="1" lang="ja-JP" altLang="en-US" sz="1000" b="0">
              <a:solidFill>
                <a:schemeClr val="bg1"/>
              </a:solidFill>
              <a:effectLst/>
              <a:latin typeface="Meiryo UI" panose="020B0604030504040204" pitchFamily="50" charset="-128"/>
              <a:ea typeface="Meiryo UI" panose="020B0604030504040204" pitchFamily="50" charset="-128"/>
              <a:cs typeface="+mn-cs"/>
            </a:rPr>
            <a:t>当日連絡先は、緊急時に必ず連絡の取れる連絡先を記載ください。</a:t>
          </a:r>
        </a:p>
      </xdr:txBody>
    </xdr:sp>
    <xdr:clientData fLocksWithSheet="0" fPrintsWithSheet="0"/>
  </xdr:twoCellAnchor>
  <xdr:twoCellAnchor editAs="oneCell">
    <xdr:from>
      <xdr:col>6</xdr:col>
      <xdr:colOff>57150</xdr:colOff>
      <xdr:row>7</xdr:row>
      <xdr:rowOff>425450</xdr:rowOff>
    </xdr:from>
    <xdr:to>
      <xdr:col>8</xdr:col>
      <xdr:colOff>2713354</xdr:colOff>
      <xdr:row>14</xdr:row>
      <xdr:rowOff>177800</xdr:rowOff>
    </xdr:to>
    <xdr:sp macro="" textlink="">
      <xdr:nvSpPr>
        <xdr:cNvPr id="6" name="四角形: 角を丸くする 5">
          <a:extLst>
            <a:ext uri="{FF2B5EF4-FFF2-40B4-BE49-F238E27FC236}">
              <a16:creationId xmlns:a16="http://schemas.microsoft.com/office/drawing/2014/main" id="{080763E6-E176-4511-A7EC-22365FF41E71}"/>
            </a:ext>
          </a:extLst>
        </xdr:cNvPr>
        <xdr:cNvSpPr/>
      </xdr:nvSpPr>
      <xdr:spPr>
        <a:xfrm>
          <a:off x="8483600" y="2178050"/>
          <a:ext cx="2818129" cy="3219450"/>
        </a:xfrm>
        <a:prstGeom prst="roundRect">
          <a:avLst>
            <a:gd name="adj" fmla="val 498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nSpc>
              <a:spcPts val="1400"/>
            </a:lnSpc>
          </a:pPr>
          <a:r>
            <a:rPr kumimoji="1" lang="ja-JP" altLang="en-US" sz="1000" b="0">
              <a:solidFill>
                <a:schemeClr val="bg1"/>
              </a:solidFill>
              <a:effectLst/>
              <a:latin typeface="Meiryo UI" panose="020B0604030504040204" pitchFamily="50" charset="-128"/>
              <a:ea typeface="Meiryo UI" panose="020B0604030504040204" pitchFamily="50" charset="-128"/>
              <a:cs typeface="+mn-cs"/>
            </a:rPr>
            <a:t>＜さくらサイエンスプログラムを目的とした滞在期間の延長＞</a:t>
          </a:r>
        </a:p>
        <a:p>
          <a:pPr>
            <a:lnSpc>
              <a:spcPts val="1400"/>
            </a:lnSpc>
          </a:pP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全体の日数は招へい期間の</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2</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倍以内</a:t>
          </a:r>
        </a:p>
        <a:p>
          <a:pPr>
            <a:lnSpc>
              <a:spcPts val="1400"/>
            </a:lnSpc>
          </a:pP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基本情報の日程は、通常の実施期間上限の範囲内</a:t>
          </a:r>
        </a:p>
        <a:p>
          <a:pPr>
            <a:lnSpc>
              <a:spcPts val="1400"/>
            </a:lnSpc>
          </a:pPr>
          <a:r>
            <a:rPr kumimoji="1" lang="en-US" altLang="ja-JP" sz="1000" b="0">
              <a:solidFill>
                <a:schemeClr val="bg1"/>
              </a:solidFill>
              <a:effectLst/>
              <a:latin typeface="Meiryo UI" panose="020B0604030504040204" pitchFamily="50" charset="-128"/>
              <a:ea typeface="Meiryo UI" panose="020B0604030504040204" pitchFamily="50" charset="-128"/>
              <a:cs typeface="+mn-cs"/>
            </a:rPr>
            <a:t>※JST</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による支援対象期間外の欄に「さくらサイエンスプログラムを目的として○○等を実施するため延長滞在し、●月●日出国」と入力して下さい。</a:t>
          </a:r>
        </a:p>
        <a:p>
          <a:pPr>
            <a:lnSpc>
              <a:spcPts val="1400"/>
            </a:lnSpc>
          </a:pPr>
          <a:endParaRPr kumimoji="1" lang="ja-JP" altLang="en-US" sz="1000" b="0">
            <a:solidFill>
              <a:schemeClr val="bg1"/>
            </a:solidFill>
            <a:effectLst/>
            <a:latin typeface="Meiryo UI" panose="020B0604030504040204" pitchFamily="50" charset="-128"/>
            <a:ea typeface="Meiryo UI" panose="020B0604030504040204" pitchFamily="50" charset="-128"/>
            <a:cs typeface="+mn-cs"/>
          </a:endParaRPr>
        </a:p>
        <a:p>
          <a:pPr>
            <a:lnSpc>
              <a:spcPts val="1400"/>
            </a:lnSpc>
          </a:pPr>
          <a:r>
            <a:rPr kumimoji="1" lang="ja-JP" altLang="en-US" sz="1000" b="0">
              <a:solidFill>
                <a:schemeClr val="bg1"/>
              </a:solidFill>
              <a:effectLst/>
              <a:latin typeface="Meiryo UI" panose="020B0604030504040204" pitchFamily="50" charset="-128"/>
              <a:ea typeface="Meiryo UI" panose="020B0604030504040204" pitchFamily="50" charset="-128"/>
              <a:cs typeface="+mn-cs"/>
            </a:rPr>
            <a:t>＜他の用務を目的とした滞在期間の延長＞</a:t>
          </a:r>
        </a:p>
        <a:p>
          <a:pPr>
            <a:lnSpc>
              <a:spcPts val="1400"/>
            </a:lnSpc>
          </a:pPr>
          <a:r>
            <a:rPr kumimoji="1" lang="en-US" altLang="ja-JP" sz="1000" b="0">
              <a:solidFill>
                <a:schemeClr val="bg1"/>
              </a:solidFill>
              <a:effectLst/>
              <a:latin typeface="Meiryo UI" panose="020B0604030504040204" pitchFamily="50" charset="-128"/>
              <a:ea typeface="Meiryo UI" panose="020B0604030504040204" pitchFamily="50" charset="-128"/>
              <a:cs typeface="+mn-cs"/>
            </a:rPr>
            <a:t>※2026</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年</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3</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月</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13</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日までに帰国</a:t>
          </a:r>
        </a:p>
        <a:p>
          <a:pPr>
            <a:lnSpc>
              <a:spcPts val="1400"/>
            </a:lnSpc>
          </a:pP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招へい期間より前に来日する場合は入国日</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AM</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欄に、期間よりも後に出国する場合は帰国日</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PM</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欄に実際の入出国日や詳細について記載してください。</a:t>
          </a:r>
        </a:p>
      </xdr:txBody>
    </xdr:sp>
    <xdr:clientData fLocksWithSheet="0" fPrintsWithSheet="0"/>
  </xdr:twoCellAnchor>
</xdr:wsDr>
</file>

<file path=xl/drawings/drawing6.xml><?xml version="1.0" encoding="utf-8"?>
<xdr:wsDr xmlns:xdr="http://schemas.openxmlformats.org/drawingml/2006/spreadsheetDrawing" xmlns:a="http://schemas.openxmlformats.org/drawingml/2006/main">
  <xdr:twoCellAnchor editAs="oneCell">
    <xdr:from>
      <xdr:col>10</xdr:col>
      <xdr:colOff>2838450</xdr:colOff>
      <xdr:row>0</xdr:row>
      <xdr:rowOff>47625</xdr:rowOff>
    </xdr:from>
    <xdr:to>
      <xdr:col>10</xdr:col>
      <xdr:colOff>2946450</xdr:colOff>
      <xdr:row>0</xdr:row>
      <xdr:rowOff>90537</xdr:rowOff>
    </xdr:to>
    <xdr:pic>
      <xdr:nvPicPr>
        <xdr:cNvPr id="3" name="図 2">
          <a:extLst>
            <a:ext uri="{FF2B5EF4-FFF2-40B4-BE49-F238E27FC236}">
              <a16:creationId xmlns:a16="http://schemas.microsoft.com/office/drawing/2014/main" id="{970C2C6C-5B48-41EA-A88D-AD2854A0223B}"/>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10925175" y="47625"/>
          <a:ext cx="108000" cy="42912"/>
        </a:xfrm>
        <a:prstGeom prst="rect">
          <a:avLst/>
        </a:prstGeom>
      </xdr:spPr>
    </xdr:pic>
    <xdr:clientData/>
  </xdr:twoCellAnchor>
  <xdr:twoCellAnchor editAs="oneCell">
    <xdr:from>
      <xdr:col>11</xdr:col>
      <xdr:colOff>57150</xdr:colOff>
      <xdr:row>31</xdr:row>
      <xdr:rowOff>234950</xdr:rowOff>
    </xdr:from>
    <xdr:to>
      <xdr:col>12</xdr:col>
      <xdr:colOff>2143125</xdr:colOff>
      <xdr:row>36</xdr:row>
      <xdr:rowOff>241300</xdr:rowOff>
    </xdr:to>
    <xdr:sp macro="" textlink="">
      <xdr:nvSpPr>
        <xdr:cNvPr id="2" name="四角形: 角を丸くする 1">
          <a:extLst>
            <a:ext uri="{FF2B5EF4-FFF2-40B4-BE49-F238E27FC236}">
              <a16:creationId xmlns:a16="http://schemas.microsoft.com/office/drawing/2014/main" id="{9224E380-4D95-424D-BAC2-E7B406F6B55B}"/>
            </a:ext>
          </a:extLst>
        </xdr:cNvPr>
        <xdr:cNvSpPr/>
      </xdr:nvSpPr>
      <xdr:spPr>
        <a:xfrm>
          <a:off x="12344400" y="7258050"/>
          <a:ext cx="2273300" cy="1244600"/>
        </a:xfrm>
        <a:prstGeom prst="roundRect">
          <a:avLst>
            <a:gd name="adj" fmla="val 865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nSpc>
              <a:spcPts val="1400"/>
            </a:lnSpc>
          </a:pP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r>
            <a:rPr kumimoji="1" lang="ja-JP" altLang="ja-JP" sz="1000" b="0">
              <a:solidFill>
                <a:schemeClr val="bg1"/>
              </a:solidFill>
              <a:effectLst/>
              <a:latin typeface="Meiryo UI" panose="020B0604030504040204" pitchFamily="50" charset="-128"/>
              <a:ea typeface="Meiryo UI" panose="020B0604030504040204" pitchFamily="50" charset="-128"/>
              <a:cs typeface="+mn-cs"/>
            </a:rPr>
            <a:t>注意</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a:t>
          </a:r>
        </a:p>
        <a:p>
          <a:pPr>
            <a:lnSpc>
              <a:spcPts val="1400"/>
            </a:lnSpc>
          </a:pPr>
          <a:r>
            <a:rPr kumimoji="1" lang="ja-JP" altLang="en-US" sz="1000" b="0">
              <a:solidFill>
                <a:schemeClr val="bg1"/>
              </a:solidFill>
              <a:effectLst/>
              <a:latin typeface="Meiryo UI" panose="020B0604030504040204" pitchFamily="50" charset="-128"/>
              <a:ea typeface="Meiryo UI" panose="020B0604030504040204" pitchFamily="50" charset="-128"/>
              <a:cs typeface="+mn-cs"/>
            </a:rPr>
            <a:t>印刷範囲の初期設定は国別渡航費</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5</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までとなっています。国別渡航費</a:t>
          </a:r>
          <a:r>
            <a:rPr kumimoji="1" lang="en-US" altLang="ja-JP" sz="1000" b="0">
              <a:solidFill>
                <a:schemeClr val="bg1"/>
              </a:solidFill>
              <a:effectLst/>
              <a:latin typeface="Meiryo UI" panose="020B0604030504040204" pitchFamily="50" charset="-128"/>
              <a:ea typeface="Meiryo UI" panose="020B0604030504040204" pitchFamily="50" charset="-128"/>
              <a:cs typeface="+mn-cs"/>
            </a:rPr>
            <a:t>6</a:t>
          </a:r>
          <a:r>
            <a:rPr kumimoji="1" lang="ja-JP" altLang="en-US" sz="1000" b="0">
              <a:solidFill>
                <a:schemeClr val="bg1"/>
              </a:solidFill>
              <a:effectLst/>
              <a:latin typeface="Meiryo UI" panose="020B0604030504040204" pitchFamily="50" charset="-128"/>
              <a:ea typeface="Meiryo UI" panose="020B0604030504040204" pitchFamily="50" charset="-128"/>
              <a:cs typeface="+mn-cs"/>
            </a:rPr>
            <a:t>以降に記入する場合は、印刷範囲を変更してください。</a:t>
          </a:r>
          <a:endParaRPr kumimoji="1" lang="ja-JP" altLang="en-US" sz="1000" b="0">
            <a:solidFill>
              <a:schemeClr val="bg1"/>
            </a:solidFill>
          </a:endParaRPr>
        </a:p>
      </xdr:txBody>
    </xdr:sp>
    <xdr:clientData fLocksWithSheet="0" fPrintsWithSheet="0"/>
  </xdr:twoCellAnchor>
</xdr:wsDr>
</file>

<file path=xl/drawings/drawing7.xml><?xml version="1.0" encoding="utf-8"?>
<xdr:wsDr xmlns:xdr="http://schemas.openxmlformats.org/drawingml/2006/spreadsheetDrawing" xmlns:a="http://schemas.openxmlformats.org/drawingml/2006/main">
  <xdr:twoCellAnchor editAs="oneCell">
    <xdr:from>
      <xdr:col>4</xdr:col>
      <xdr:colOff>600075</xdr:colOff>
      <xdr:row>0</xdr:row>
      <xdr:rowOff>171450</xdr:rowOff>
    </xdr:from>
    <xdr:to>
      <xdr:col>12</xdr:col>
      <xdr:colOff>706120</xdr:colOff>
      <xdr:row>2</xdr:row>
      <xdr:rowOff>20320</xdr:rowOff>
    </xdr:to>
    <xdr:sp macro="" textlink="">
      <xdr:nvSpPr>
        <xdr:cNvPr id="7" name="四角形: 角を丸くする 6">
          <a:extLst>
            <a:ext uri="{FF2B5EF4-FFF2-40B4-BE49-F238E27FC236}">
              <a16:creationId xmlns:a16="http://schemas.microsoft.com/office/drawing/2014/main" id="{1E916B59-1EBD-42D2-BA40-BAFBEAA0D35A}"/>
            </a:ext>
          </a:extLst>
        </xdr:cNvPr>
        <xdr:cNvSpPr/>
      </xdr:nvSpPr>
      <xdr:spPr>
        <a:xfrm>
          <a:off x="2581275" y="171450"/>
          <a:ext cx="5791200" cy="276225"/>
        </a:xfrm>
        <a:prstGeom prst="roundRect">
          <a:avLst>
            <a:gd name="adj" fmla="val 129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lnSpc>
              <a:spcPts val="1400"/>
            </a:lnSpc>
          </a:pPr>
          <a:r>
            <a:rPr kumimoji="1" lang="ja-JP" altLang="en-US" sz="1000" b="0">
              <a:solidFill>
                <a:schemeClr val="bg1"/>
              </a:solidFill>
              <a:latin typeface="Meiryo UI" panose="020B0604030504040204" pitchFamily="50" charset="-128"/>
              <a:ea typeface="Meiryo UI" panose="020B0604030504040204" pitchFamily="50" charset="-128"/>
            </a:rPr>
            <a:t>黄色のセルは記入必須となりますので、計上がない場合は</a:t>
          </a:r>
          <a:r>
            <a:rPr kumimoji="1" lang="ja-JP" altLang="en-US" sz="1000" b="1">
              <a:solidFill>
                <a:schemeClr val="accent2">
                  <a:lumMod val="60000"/>
                  <a:lumOff val="40000"/>
                </a:schemeClr>
              </a:solidFill>
              <a:latin typeface="Meiryo UI" panose="020B0604030504040204" pitchFamily="50" charset="-128"/>
              <a:ea typeface="Meiryo UI" panose="020B0604030504040204" pitchFamily="50" charset="-128"/>
            </a:rPr>
            <a:t>「０」</a:t>
          </a:r>
          <a:r>
            <a:rPr kumimoji="1" lang="ja-JP" altLang="en-US" sz="1000" b="0">
              <a:solidFill>
                <a:schemeClr val="bg1"/>
              </a:solidFill>
              <a:latin typeface="Meiryo UI" panose="020B0604030504040204" pitchFamily="50" charset="-128"/>
              <a:ea typeface="Meiryo UI" panose="020B0604030504040204" pitchFamily="50" charset="-128"/>
            </a:rPr>
            <a:t>と記入してください。</a:t>
          </a:r>
          <a:endParaRPr kumimoji="1" lang="en-US" altLang="ja-JP" sz="1000" b="0">
            <a:solidFill>
              <a:schemeClr val="bg1"/>
            </a:solidFill>
            <a:latin typeface="Meiryo UI" panose="020B0604030504040204" pitchFamily="50" charset="-128"/>
            <a:ea typeface="Meiryo UI" panose="020B0604030504040204" pitchFamily="50" charset="-128"/>
          </a:endParaRPr>
        </a:p>
      </xdr:txBody>
    </xdr:sp>
    <xdr:clientData fPrintsWithSheet="0"/>
  </xdr:twoCellAnchor>
  <xdr:twoCellAnchor>
    <xdr:from>
      <xdr:col>12</xdr:col>
      <xdr:colOff>38099</xdr:colOff>
      <xdr:row>31</xdr:row>
      <xdr:rowOff>47625</xdr:rowOff>
    </xdr:from>
    <xdr:to>
      <xdr:col>12</xdr:col>
      <xdr:colOff>800100</xdr:colOff>
      <xdr:row>35</xdr:row>
      <xdr:rowOff>123825</xdr:rowOff>
    </xdr:to>
    <xdr:sp macro="" textlink="$P$37">
      <xdr:nvSpPr>
        <xdr:cNvPr id="2" name="テキスト ボックス 1">
          <a:extLst>
            <a:ext uri="{FF2B5EF4-FFF2-40B4-BE49-F238E27FC236}">
              <a16:creationId xmlns:a16="http://schemas.microsoft.com/office/drawing/2014/main" id="{1E9F9D69-9B86-4F0A-BAB0-4AA07411D038}"/>
            </a:ext>
          </a:extLst>
        </xdr:cNvPr>
        <xdr:cNvSpPr txBox="1"/>
      </xdr:nvSpPr>
      <xdr:spPr>
        <a:xfrm>
          <a:off x="7858124" y="7981950"/>
          <a:ext cx="762001" cy="1295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fld id="{0C645A95-BE59-4DC5-826E-6174547E1A49}" type="TxLink">
            <a:rPr kumimoji="1" lang="en-US" altLang="en-US" sz="800" b="1" i="0" u="none" strike="noStrike">
              <a:solidFill>
                <a:srgbClr val="FF0000"/>
              </a:solidFill>
              <a:latin typeface="Meiryo UI"/>
              <a:ea typeface="Meiryo UI"/>
            </a:rPr>
            <a:pPr algn="l"/>
            <a:t> </a:t>
          </a:fld>
          <a:endParaRPr kumimoji="1" lang="ja-JP" altLang="en-US" sz="800"/>
        </a:p>
      </xdr:txBody>
    </xdr:sp>
    <xdr:clientData/>
  </xdr:twoCellAnchor>
  <xdr:twoCellAnchor editAs="oneCell">
    <xdr:from>
      <xdr:col>14</xdr:col>
      <xdr:colOff>2066925</xdr:colOff>
      <xdr:row>0</xdr:row>
      <xdr:rowOff>76200</xdr:rowOff>
    </xdr:from>
    <xdr:to>
      <xdr:col>14</xdr:col>
      <xdr:colOff>2176195</xdr:colOff>
      <xdr:row>0</xdr:row>
      <xdr:rowOff>106412</xdr:rowOff>
    </xdr:to>
    <xdr:pic>
      <xdr:nvPicPr>
        <xdr:cNvPr id="5" name="図 4">
          <a:extLst>
            <a:ext uri="{FF2B5EF4-FFF2-40B4-BE49-F238E27FC236}">
              <a16:creationId xmlns:a16="http://schemas.microsoft.com/office/drawing/2014/main" id="{382AA727-F791-465F-8ABC-BFB0817F928D}"/>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10429875" y="76200"/>
          <a:ext cx="109270" cy="3021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11</xdr:col>
      <xdr:colOff>166069</xdr:colOff>
      <xdr:row>3</xdr:row>
      <xdr:rowOff>63500</xdr:rowOff>
    </xdr:from>
    <xdr:to>
      <xdr:col>11</xdr:col>
      <xdr:colOff>415590</xdr:colOff>
      <xdr:row>3</xdr:row>
      <xdr:rowOff>171450</xdr:rowOff>
    </xdr:to>
    <xdr:pic>
      <xdr:nvPicPr>
        <xdr:cNvPr id="6" name="図 5">
          <a:extLst>
            <a:ext uri="{FF2B5EF4-FFF2-40B4-BE49-F238E27FC236}">
              <a16:creationId xmlns:a16="http://schemas.microsoft.com/office/drawing/2014/main" id="{07F491A1-D504-452A-91D3-97C7B80A6543}"/>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flipV="1">
          <a:off x="10033969" y="603250"/>
          <a:ext cx="249521" cy="107950"/>
        </a:xfrm>
        <a:prstGeom prst="rect">
          <a:avLst/>
        </a:prstGeom>
      </xdr:spPr>
    </xdr:pic>
    <xdr:clientData/>
  </xdr:twoCellAnchor>
  <xdr:twoCellAnchor editAs="oneCell">
    <xdr:from>
      <xdr:col>18</xdr:col>
      <xdr:colOff>66675</xdr:colOff>
      <xdr:row>50</xdr:row>
      <xdr:rowOff>1</xdr:rowOff>
    </xdr:from>
    <xdr:to>
      <xdr:col>18</xdr:col>
      <xdr:colOff>2838450</xdr:colOff>
      <xdr:row>59</xdr:row>
      <xdr:rowOff>0</xdr:rowOff>
    </xdr:to>
    <xdr:sp macro="" textlink="">
      <xdr:nvSpPr>
        <xdr:cNvPr id="4" name="四角形: 角を丸くする 3">
          <a:extLst>
            <a:ext uri="{FF2B5EF4-FFF2-40B4-BE49-F238E27FC236}">
              <a16:creationId xmlns:a16="http://schemas.microsoft.com/office/drawing/2014/main" id="{CDFDB85C-6BBD-437D-B222-5AAD18CB9EEE}"/>
            </a:ext>
          </a:extLst>
        </xdr:cNvPr>
        <xdr:cNvSpPr/>
      </xdr:nvSpPr>
      <xdr:spPr>
        <a:xfrm>
          <a:off x="12392025" y="6705601"/>
          <a:ext cx="2771775" cy="2143124"/>
        </a:xfrm>
        <a:prstGeom prst="roundRect">
          <a:avLst>
            <a:gd name="adj" fmla="val 4625"/>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lstStyle/>
        <a:p>
          <a:pPr marL="0" marR="0" lvl="0" indent="0" algn="l" defTabSz="914400" eaLnBrk="1" fontAlgn="auto" latinLnBrk="0" hangingPunct="1">
            <a:lnSpc>
              <a:spcPts val="1500"/>
            </a:lnSpc>
            <a:spcBef>
              <a:spcPts val="0"/>
            </a:spcBef>
            <a:spcAft>
              <a:spcPts val="0"/>
            </a:spcAft>
            <a:buClrTx/>
            <a:buSzTx/>
            <a:buFontTx/>
            <a:buNone/>
            <a:tabLst/>
            <a:defRPr/>
          </a:pPr>
          <a:r>
            <a:rPr kumimoji="1" lang="en-US" altLang="ja-JP" sz="900" b="0">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900" b="0">
              <a:solidFill>
                <a:sysClr val="windowText" lastClr="000000"/>
              </a:solidFill>
              <a:effectLst/>
              <a:latin typeface="Meiryo UI" panose="020B0604030504040204" pitchFamily="50" charset="-128"/>
              <a:ea typeface="Meiryo UI" panose="020B0604030504040204" pitchFamily="50" charset="-128"/>
              <a:cs typeface="+mn-cs"/>
            </a:rPr>
            <a:t>３）招へい者</a:t>
          </a:r>
          <a:r>
            <a:rPr kumimoji="1" lang="en-US" altLang="ja-JP" sz="900" b="0">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900" b="0">
              <a:solidFill>
                <a:sysClr val="windowText" lastClr="000000"/>
              </a:solidFill>
              <a:effectLst/>
              <a:latin typeface="Meiryo UI" panose="020B0604030504040204" pitchFamily="50" charset="-128"/>
              <a:ea typeface="Meiryo UI" panose="020B0604030504040204" pitchFamily="50" charset="-128"/>
              <a:cs typeface="+mn-cs"/>
            </a:rPr>
            <a:t>の自己資金招へい者欄と内容が異なる場合は、併せて</a:t>
          </a:r>
          <a:r>
            <a:rPr kumimoji="1" lang="ja-JP" altLang="en-US" sz="900" b="0">
              <a:solidFill>
                <a:sysClr val="windowText" lastClr="000000"/>
              </a:solidFill>
              <a:effectLst/>
              <a:latin typeface="Meiryo UI" panose="020B0604030504040204" pitchFamily="50" charset="-128"/>
              <a:ea typeface="Meiryo UI" panose="020B0604030504040204" pitchFamily="50" charset="-128"/>
              <a:cs typeface="+mn-cs"/>
            </a:rPr>
            <a:t>修正してください。</a:t>
          </a:r>
          <a:endParaRPr kumimoji="1" lang="en-US" altLang="ja-JP" sz="900" b="0">
            <a:solidFill>
              <a:sysClr val="windowText" lastClr="000000"/>
            </a:solidFill>
            <a:effectLst/>
            <a:latin typeface="Meiryo UI" panose="020B0604030504040204" pitchFamily="50" charset="-128"/>
            <a:ea typeface="Meiryo UI" panose="020B0604030504040204" pitchFamily="50" charset="-128"/>
            <a:cs typeface="+mn-cs"/>
          </a:endParaRPr>
        </a:p>
        <a:p>
          <a:pPr marL="0" marR="0" lvl="0" indent="0" algn="l" defTabSz="914400" eaLnBrk="1" fontAlgn="auto" latinLnBrk="0" hangingPunct="1">
            <a:lnSpc>
              <a:spcPts val="1500"/>
            </a:lnSpc>
            <a:spcBef>
              <a:spcPts val="0"/>
            </a:spcBef>
            <a:spcAft>
              <a:spcPts val="0"/>
            </a:spcAft>
            <a:buClrTx/>
            <a:buSzTx/>
            <a:buFontTx/>
            <a:buNone/>
            <a:tabLst/>
            <a:defRPr/>
          </a:pPr>
          <a:endParaRPr kumimoji="1" lang="en-US" altLang="ja-JP" sz="900" b="0">
            <a:solidFill>
              <a:sysClr val="windowText" lastClr="000000"/>
            </a:solidFill>
            <a:effectLst/>
            <a:latin typeface="Meiryo UI" panose="020B0604030504040204" pitchFamily="50" charset="-128"/>
            <a:ea typeface="Meiryo UI" panose="020B0604030504040204" pitchFamily="50" charset="-128"/>
            <a:cs typeface="+mn-cs"/>
          </a:endParaRPr>
        </a:p>
        <a:p>
          <a:pPr marL="0" marR="0" lvl="0" indent="0" algn="l" defTabSz="914400" eaLnBrk="1" fontAlgn="auto" latinLnBrk="0" hangingPunct="1">
            <a:lnSpc>
              <a:spcPts val="1500"/>
            </a:lnSpc>
            <a:spcBef>
              <a:spcPts val="0"/>
            </a:spcBef>
            <a:spcAft>
              <a:spcPts val="0"/>
            </a:spcAft>
            <a:buClrTx/>
            <a:buSzTx/>
            <a:buFontTx/>
            <a:buNone/>
            <a:tabLst/>
            <a:defRPr/>
          </a:pPr>
          <a:r>
            <a:rPr kumimoji="1" lang="en-US" altLang="ja-JP" sz="900" b="0">
              <a:solidFill>
                <a:srgbClr val="FF0000"/>
              </a:solidFill>
              <a:latin typeface="Meiryo UI" panose="020B0604030504040204" pitchFamily="50" charset="-128"/>
              <a:ea typeface="Meiryo UI" panose="020B0604030504040204" pitchFamily="50" charset="-128"/>
            </a:rPr>
            <a:t>⇐JST</a:t>
          </a:r>
          <a:r>
            <a:rPr kumimoji="1" lang="ja-JP" altLang="en-US" sz="900" b="0">
              <a:solidFill>
                <a:srgbClr val="FF0000"/>
              </a:solidFill>
              <a:latin typeface="Meiryo UI" panose="020B0604030504040204" pitchFamily="50" charset="-128"/>
              <a:ea typeface="Meiryo UI" panose="020B0604030504040204" pitchFamily="50" charset="-128"/>
            </a:rPr>
            <a:t>支援金による招へい者と同等の要件</a:t>
          </a:r>
          <a:endParaRPr kumimoji="1" lang="en-US" altLang="ja-JP" sz="900" b="0">
            <a:solidFill>
              <a:srgbClr val="FF0000"/>
            </a:solidFill>
            <a:latin typeface="Meiryo UI" panose="020B0604030504040204" pitchFamily="50" charset="-128"/>
            <a:ea typeface="Meiryo UI" panose="020B0604030504040204" pitchFamily="50" charset="-128"/>
          </a:endParaRPr>
        </a:p>
        <a:p>
          <a:pPr marL="0" marR="0" lvl="0" indent="0" algn="l" defTabSz="914400" eaLnBrk="1" fontAlgn="auto" latinLnBrk="0" hangingPunct="1">
            <a:lnSpc>
              <a:spcPts val="1500"/>
            </a:lnSpc>
            <a:spcBef>
              <a:spcPts val="0"/>
            </a:spcBef>
            <a:spcAft>
              <a:spcPts val="0"/>
            </a:spcAft>
            <a:buClrTx/>
            <a:buSzTx/>
            <a:buFontTx/>
            <a:buNone/>
            <a:tabLst/>
            <a:defRPr/>
          </a:pPr>
          <a:r>
            <a:rPr kumimoji="1" lang="en-US" altLang="ja-JP" sz="900" b="0">
              <a:solidFill>
                <a:srgbClr val="FF0000"/>
              </a:solidFill>
              <a:latin typeface="Meiryo UI" panose="020B0604030504040204" pitchFamily="50" charset="-128"/>
              <a:ea typeface="Meiryo UI" panose="020B0604030504040204" pitchFamily="50" charset="-128"/>
            </a:rPr>
            <a:t> </a:t>
          </a:r>
          <a:r>
            <a:rPr kumimoji="1" lang="ja-JP" altLang="en-US" sz="900" b="0">
              <a:solidFill>
                <a:srgbClr val="FF0000"/>
              </a:solidFill>
              <a:latin typeface="Meiryo UI" panose="020B0604030504040204" pitchFamily="50" charset="-128"/>
              <a:ea typeface="Meiryo UI" panose="020B0604030504040204" pitchFamily="50" charset="-128"/>
            </a:rPr>
            <a:t>　（所属、年齢、来日経験）を満たす方のみ対象。</a:t>
          </a:r>
        </a:p>
        <a:p>
          <a:pPr marL="0" marR="0" lvl="0" indent="0" algn="l" defTabSz="914400" eaLnBrk="1" fontAlgn="auto" latinLnBrk="0" hangingPunct="1">
            <a:lnSpc>
              <a:spcPts val="1500"/>
            </a:lnSpc>
            <a:spcBef>
              <a:spcPts val="0"/>
            </a:spcBef>
            <a:spcAft>
              <a:spcPts val="0"/>
            </a:spcAft>
            <a:buClrTx/>
            <a:buSzTx/>
            <a:buFontTx/>
            <a:buNone/>
            <a:tabLst/>
            <a:defRPr/>
          </a:pPr>
          <a:r>
            <a:rPr kumimoji="1" lang="ja-JP" altLang="en-US" sz="900" b="0">
              <a:solidFill>
                <a:srgbClr val="FF0000"/>
              </a:solidFill>
              <a:latin typeface="Meiryo UI" panose="020B0604030504040204" pitchFamily="50" charset="-128"/>
              <a:ea typeface="Meiryo UI" panose="020B0604030504040204" pitchFamily="50" charset="-128"/>
            </a:rPr>
            <a:t>　 引率者は招へい者全体で</a:t>
          </a:r>
          <a:r>
            <a:rPr kumimoji="1" lang="en-US" altLang="ja-JP" sz="900" b="0">
              <a:solidFill>
                <a:srgbClr val="FF0000"/>
              </a:solidFill>
              <a:latin typeface="Meiryo UI" panose="020B0604030504040204" pitchFamily="50" charset="-128"/>
              <a:ea typeface="Meiryo UI" panose="020B0604030504040204" pitchFamily="50" charset="-128"/>
            </a:rPr>
            <a:t>1</a:t>
          </a:r>
          <a:r>
            <a:rPr kumimoji="1" lang="ja-JP" altLang="en-US" sz="900" b="0">
              <a:solidFill>
                <a:srgbClr val="FF0000"/>
              </a:solidFill>
              <a:latin typeface="Meiryo UI" panose="020B0604030504040204" pitchFamily="50" charset="-128"/>
              <a:ea typeface="Meiryo UI" panose="020B0604030504040204" pitchFamily="50" charset="-128"/>
            </a:rPr>
            <a:t>機関</a:t>
          </a:r>
          <a:r>
            <a:rPr kumimoji="1" lang="en-US" altLang="ja-JP" sz="900" b="0">
              <a:solidFill>
                <a:srgbClr val="FF0000"/>
              </a:solidFill>
              <a:latin typeface="Meiryo UI" panose="020B0604030504040204" pitchFamily="50" charset="-128"/>
              <a:ea typeface="Meiryo UI" panose="020B0604030504040204" pitchFamily="50" charset="-128"/>
            </a:rPr>
            <a:t>1</a:t>
          </a:r>
          <a:r>
            <a:rPr kumimoji="1" lang="ja-JP" altLang="en-US" sz="900" b="0">
              <a:solidFill>
                <a:srgbClr val="FF0000"/>
              </a:solidFill>
              <a:latin typeface="Meiryo UI" panose="020B0604030504040204" pitchFamily="50" charset="-128"/>
              <a:ea typeface="Meiryo UI" panose="020B0604030504040204" pitchFamily="50" charset="-128"/>
            </a:rPr>
            <a:t>名まで。</a:t>
          </a:r>
        </a:p>
        <a:p>
          <a:pPr marL="0" marR="0" lvl="0" indent="0" algn="l" defTabSz="914400" eaLnBrk="1" fontAlgn="auto" latinLnBrk="0" hangingPunct="1">
            <a:lnSpc>
              <a:spcPts val="1500"/>
            </a:lnSpc>
            <a:spcBef>
              <a:spcPts val="0"/>
            </a:spcBef>
            <a:spcAft>
              <a:spcPts val="0"/>
            </a:spcAft>
            <a:buClrTx/>
            <a:buSzTx/>
            <a:buFontTx/>
            <a:buNone/>
            <a:tabLst/>
            <a:defRPr/>
          </a:pPr>
          <a:r>
            <a:rPr kumimoji="1" lang="ja-JP" altLang="en-US" sz="900" b="0">
              <a:solidFill>
                <a:srgbClr val="FF0000"/>
              </a:solidFill>
              <a:latin typeface="Meiryo UI" panose="020B0604030504040204" pitchFamily="50" charset="-128"/>
              <a:ea typeface="Meiryo UI" panose="020B0604030504040204" pitchFamily="50" charset="-128"/>
            </a:rPr>
            <a:t>　 送出し機関の国・地域は、今年度本事業が</a:t>
          </a:r>
          <a:endParaRPr kumimoji="1" lang="en-US" altLang="ja-JP" sz="900" b="0">
            <a:solidFill>
              <a:srgbClr val="FF0000"/>
            </a:solidFill>
            <a:latin typeface="Meiryo UI" panose="020B0604030504040204" pitchFamily="50" charset="-128"/>
            <a:ea typeface="Meiryo UI" panose="020B0604030504040204" pitchFamily="50" charset="-128"/>
          </a:endParaRPr>
        </a:p>
        <a:p>
          <a:pPr marL="0" marR="0" lvl="0" indent="0" algn="l" defTabSz="914400" eaLnBrk="1" fontAlgn="auto" latinLnBrk="0" hangingPunct="1">
            <a:lnSpc>
              <a:spcPts val="1500"/>
            </a:lnSpc>
            <a:spcBef>
              <a:spcPts val="0"/>
            </a:spcBef>
            <a:spcAft>
              <a:spcPts val="0"/>
            </a:spcAft>
            <a:buClrTx/>
            <a:buSzTx/>
            <a:buFontTx/>
            <a:buNone/>
            <a:tabLst/>
            <a:defRPr/>
          </a:pPr>
          <a:r>
            <a:rPr kumimoji="1" lang="ja-JP" altLang="en-US" sz="900" b="0">
              <a:solidFill>
                <a:srgbClr val="FF0000"/>
              </a:solidFill>
              <a:latin typeface="Meiryo UI" panose="020B0604030504040204" pitchFamily="50" charset="-128"/>
              <a:ea typeface="Meiryo UI" panose="020B0604030504040204" pitchFamily="50" charset="-128"/>
            </a:rPr>
            <a:t>　 対象とする国・地域のみ。</a:t>
          </a:r>
          <a:endParaRPr kumimoji="1" lang="en-US" altLang="ja-JP" sz="900" b="0">
            <a:solidFill>
              <a:srgbClr val="FF0000"/>
            </a:solidFill>
            <a:latin typeface="Meiryo UI" panose="020B0604030504040204" pitchFamily="50" charset="-128"/>
            <a:ea typeface="Meiryo UI" panose="020B0604030504040204" pitchFamily="50" charset="-128"/>
          </a:endParaRPr>
        </a:p>
      </xdr:txBody>
    </xdr:sp>
    <xdr:clientData fPrintsWithSheet="0"/>
  </xdr:twoCellAnchor>
  <xdr:twoCellAnchor editAs="oneCell">
    <xdr:from>
      <xdr:col>18</xdr:col>
      <xdr:colOff>57150</xdr:colOff>
      <xdr:row>18</xdr:row>
      <xdr:rowOff>57150</xdr:rowOff>
    </xdr:from>
    <xdr:to>
      <xdr:col>18</xdr:col>
      <xdr:colOff>2838450</xdr:colOff>
      <xdr:row>30</xdr:row>
      <xdr:rowOff>0</xdr:rowOff>
    </xdr:to>
    <xdr:sp macro="" textlink="">
      <xdr:nvSpPr>
        <xdr:cNvPr id="7" name="四角形: 角を丸くする 6">
          <a:extLst>
            <a:ext uri="{FF2B5EF4-FFF2-40B4-BE49-F238E27FC236}">
              <a16:creationId xmlns:a16="http://schemas.microsoft.com/office/drawing/2014/main" id="{B28C4E34-EF9B-4973-B502-6EEFAE3F33E5}"/>
            </a:ext>
          </a:extLst>
        </xdr:cNvPr>
        <xdr:cNvSpPr/>
      </xdr:nvSpPr>
      <xdr:spPr>
        <a:xfrm>
          <a:off x="12382500" y="3648075"/>
          <a:ext cx="2781300" cy="2800350"/>
        </a:xfrm>
        <a:prstGeom prst="roundRect">
          <a:avLst>
            <a:gd name="adj" fmla="val 2614"/>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lstStyle/>
        <a:p>
          <a:pPr algn="l">
            <a:lnSpc>
              <a:spcPts val="1500"/>
            </a:lnSpc>
          </a:pPr>
          <a:r>
            <a:rPr kumimoji="1" lang="ja-JP" altLang="en-US" sz="900" b="0">
              <a:latin typeface="Meiryo UI" panose="020B0604030504040204" pitchFamily="50" charset="-128"/>
              <a:ea typeface="Meiryo UI" panose="020B0604030504040204" pitchFamily="50" charset="-128"/>
            </a:rPr>
            <a:t>＜</a:t>
          </a:r>
          <a:r>
            <a:rPr kumimoji="1" lang="en-US" altLang="ja-JP" sz="900" b="0">
              <a:latin typeface="Meiryo UI" panose="020B0604030504040204" pitchFamily="50" charset="-128"/>
              <a:ea typeface="Meiryo UI" panose="020B0604030504040204" pitchFamily="50" charset="-128"/>
            </a:rPr>
            <a:t>SSP</a:t>
          </a:r>
          <a:r>
            <a:rPr kumimoji="1" lang="ja-JP" altLang="en-US" sz="900" b="0">
              <a:latin typeface="Meiryo UI" panose="020B0604030504040204" pitchFamily="50" charset="-128"/>
              <a:ea typeface="Meiryo UI" panose="020B0604030504040204" pitchFamily="50" charset="-128"/>
            </a:rPr>
            <a:t>を目的とした滞在期間の延長＞</a:t>
          </a:r>
        </a:p>
        <a:p>
          <a:pPr algn="l">
            <a:lnSpc>
              <a:spcPts val="1500"/>
            </a:lnSpc>
          </a:pPr>
          <a:r>
            <a:rPr kumimoji="1" lang="ja-JP" altLang="en-US" sz="900" b="0">
              <a:latin typeface="Meiryo UI" panose="020B0604030504040204" pitchFamily="50" charset="-128"/>
              <a:ea typeface="Meiryo UI" panose="020B0604030504040204" pitchFamily="50" charset="-128"/>
            </a:rPr>
            <a:t>「さくらサイエンスプログラム」として全員延長する場合は、「日本出国日」を延長後の出国日とし、備考欄に「</a:t>
          </a:r>
          <a:r>
            <a:rPr kumimoji="1" lang="en-US" altLang="ja-JP" sz="900" b="0">
              <a:latin typeface="Meiryo UI" panose="020B0604030504040204" pitchFamily="50" charset="-128"/>
              <a:ea typeface="Meiryo UI" panose="020B0604030504040204" pitchFamily="50" charset="-128"/>
            </a:rPr>
            <a:t>SSP</a:t>
          </a:r>
          <a:r>
            <a:rPr kumimoji="1" lang="ja-JP" altLang="en-US" sz="900" b="0">
              <a:latin typeface="Meiryo UI" panose="020B0604030504040204" pitchFamily="50" charset="-128"/>
              <a:ea typeface="Meiryo UI" panose="020B0604030504040204" pitchFamily="50" charset="-128"/>
            </a:rPr>
            <a:t>として延長」と記載をお願いします。</a:t>
          </a:r>
        </a:p>
        <a:p>
          <a:pPr algn="l">
            <a:lnSpc>
              <a:spcPts val="1500"/>
            </a:lnSpc>
          </a:pPr>
          <a:endParaRPr kumimoji="1" lang="en-US" altLang="ja-JP" sz="900" b="0">
            <a:latin typeface="Meiryo UI" panose="020B0604030504040204" pitchFamily="50" charset="-128"/>
            <a:ea typeface="Meiryo UI" panose="020B0604030504040204" pitchFamily="50" charset="-128"/>
          </a:endParaRPr>
        </a:p>
        <a:p>
          <a:pPr algn="l">
            <a:lnSpc>
              <a:spcPts val="1500"/>
            </a:lnSpc>
          </a:pPr>
          <a:r>
            <a:rPr kumimoji="1" lang="ja-JP" altLang="en-US" sz="900" b="0">
              <a:latin typeface="Meiryo UI" panose="020B0604030504040204" pitchFamily="50" charset="-128"/>
              <a:ea typeface="Meiryo UI" panose="020B0604030504040204" pitchFamily="50" charset="-128"/>
            </a:rPr>
            <a:t>＜他の用務を目的とした滞在期間の延長＞</a:t>
          </a:r>
        </a:p>
        <a:p>
          <a:pPr algn="l">
            <a:lnSpc>
              <a:spcPts val="1500"/>
            </a:lnSpc>
          </a:pPr>
          <a:r>
            <a:rPr kumimoji="1" lang="ja-JP" altLang="en-US" sz="900" b="0">
              <a:latin typeface="Meiryo UI" panose="020B0604030504040204" pitchFamily="50" charset="-128"/>
              <a:ea typeface="Meiryo UI" panose="020B0604030504040204" pitchFamily="50" charset="-128"/>
            </a:rPr>
            <a:t>「日本入国日」「日本出国日」は、本プログラムの実施日程のままとし、備考欄に延長の理由と実際の入出国日を記載。</a:t>
          </a:r>
          <a:endParaRPr kumimoji="1" lang="en-US" altLang="ja-JP" sz="900" b="0">
            <a:latin typeface="Meiryo UI" panose="020B0604030504040204" pitchFamily="50" charset="-128"/>
            <a:ea typeface="Meiryo UI" panose="020B0604030504040204" pitchFamily="50" charset="-128"/>
          </a:endParaRPr>
        </a:p>
        <a:p>
          <a:pPr algn="l">
            <a:lnSpc>
              <a:spcPts val="1500"/>
            </a:lnSpc>
          </a:pPr>
          <a:endParaRPr kumimoji="1" lang="en-US" altLang="ja-JP" sz="900" b="0">
            <a:latin typeface="Meiryo UI" panose="020B0604030504040204" pitchFamily="50" charset="-128"/>
            <a:ea typeface="Meiryo UI" panose="020B0604030504040204" pitchFamily="50" charset="-128"/>
          </a:endParaRPr>
        </a:p>
        <a:p>
          <a:r>
            <a:rPr lang="ja-JP" altLang="en-US" sz="900" b="0">
              <a:effectLst/>
              <a:latin typeface="Meiryo UI" panose="020B0604030504040204" pitchFamily="50" charset="-128"/>
              <a:ea typeface="Meiryo UI" panose="020B0604030504040204" pitchFamily="50" charset="-128"/>
            </a:rPr>
            <a:t>＜他の用務を目的とした滞在期間の短縮＞</a:t>
          </a:r>
        </a:p>
        <a:p>
          <a:r>
            <a:rPr lang="ja-JP" altLang="en-US" sz="900" b="0">
              <a:effectLst/>
              <a:latin typeface="Meiryo UI" panose="020B0604030504040204" pitchFamily="50" charset="-128"/>
              <a:ea typeface="Meiryo UI" panose="020B0604030504040204" pitchFamily="50" charset="-128"/>
            </a:rPr>
            <a:t>「日本入国日」「日本出国日」は、実際の入出国日にし、備考欄に短縮の理由を記載。</a:t>
          </a:r>
        </a:p>
        <a:p>
          <a:endParaRPr lang="ja-JP" altLang="ja-JP" sz="1000">
            <a:effectLst/>
          </a:endParaRPr>
        </a:p>
      </xdr:txBody>
    </xdr:sp>
    <xdr:clientData fPrintsWithSheet="0"/>
  </xdr:twoCellAnchor>
  <xdr:twoCellAnchor editAs="oneCell">
    <xdr:from>
      <xdr:col>1</xdr:col>
      <xdr:colOff>962023</xdr:colOff>
      <xdr:row>3</xdr:row>
      <xdr:rowOff>50800</xdr:rowOff>
    </xdr:from>
    <xdr:to>
      <xdr:col>10</xdr:col>
      <xdr:colOff>152401</xdr:colOff>
      <xdr:row>5</xdr:row>
      <xdr:rowOff>85726</xdr:rowOff>
    </xdr:to>
    <xdr:sp macro="" textlink="">
      <xdr:nvSpPr>
        <xdr:cNvPr id="24" name="四角形: 角を丸くする 23">
          <a:extLst>
            <a:ext uri="{FF2B5EF4-FFF2-40B4-BE49-F238E27FC236}">
              <a16:creationId xmlns:a16="http://schemas.microsoft.com/office/drawing/2014/main" id="{B8DB7722-B7C5-40B8-A727-54D49822B842}"/>
            </a:ext>
          </a:extLst>
        </xdr:cNvPr>
        <xdr:cNvSpPr/>
      </xdr:nvSpPr>
      <xdr:spPr>
        <a:xfrm>
          <a:off x="1285873" y="584200"/>
          <a:ext cx="8143878" cy="492126"/>
        </a:xfrm>
        <a:prstGeom prst="roundRect">
          <a:avLst>
            <a:gd name="adj" fmla="val 129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lnSpc>
              <a:spcPts val="1400"/>
            </a:lnSpc>
          </a:pPr>
          <a:r>
            <a:rPr kumimoji="1" lang="ja-JP" altLang="en-US" sz="1000" b="0">
              <a:solidFill>
                <a:schemeClr val="bg1"/>
              </a:solidFill>
              <a:latin typeface="Meiryo UI" panose="020B0604030504040204" pitchFamily="50" charset="-128"/>
              <a:ea typeface="Meiryo UI" panose="020B0604030504040204" pitchFamily="50" charset="-128"/>
            </a:rPr>
            <a:t>　</a:t>
          </a:r>
          <a:r>
            <a:rPr kumimoji="1" lang="ja-JP" altLang="en-US" sz="1000" b="1">
              <a:solidFill>
                <a:srgbClr val="FFFF00"/>
              </a:solidFill>
              <a:latin typeface="Meiryo UI" panose="020B0604030504040204" pitchFamily="50" charset="-128"/>
              <a:ea typeface="Meiryo UI" panose="020B0604030504040204" pitchFamily="50" charset="-128"/>
            </a:rPr>
            <a:t>申請時は入力しないでください。</a:t>
          </a:r>
          <a:r>
            <a:rPr kumimoji="1" lang="ja-JP" altLang="en-US" sz="1000" b="0">
              <a:solidFill>
                <a:schemeClr val="bg1"/>
              </a:solidFill>
              <a:latin typeface="Meiryo UI" panose="020B0604030504040204" pitchFamily="50" charset="-128"/>
              <a:ea typeface="Meiryo UI" panose="020B0604030504040204" pitchFamily="50" charset="-128"/>
            </a:rPr>
            <a:t>採択後、プログラム開始</a:t>
          </a:r>
          <a:r>
            <a:rPr kumimoji="1" lang="en-US" altLang="ja-JP" sz="1000" b="0">
              <a:solidFill>
                <a:schemeClr val="bg1"/>
              </a:solidFill>
              <a:latin typeface="Meiryo UI" panose="020B0604030504040204" pitchFamily="50" charset="-128"/>
              <a:ea typeface="Meiryo UI" panose="020B0604030504040204" pitchFamily="50" charset="-128"/>
            </a:rPr>
            <a:t>10</a:t>
          </a:r>
          <a:r>
            <a:rPr kumimoji="1" lang="ja-JP" altLang="en-US" sz="1000" b="0">
              <a:solidFill>
                <a:schemeClr val="bg1"/>
              </a:solidFill>
              <a:latin typeface="Meiryo UI" panose="020B0604030504040204" pitchFamily="50" charset="-128"/>
              <a:ea typeface="Meiryo UI" panose="020B0604030504040204" pitchFamily="50" charset="-128"/>
            </a:rPr>
            <a:t>週間前</a:t>
          </a:r>
          <a:r>
            <a:rPr kumimoji="1" lang="en-US" altLang="ja-JP" sz="1000" b="0">
              <a:solidFill>
                <a:schemeClr val="bg1"/>
              </a:solidFill>
              <a:latin typeface="Meiryo UI" panose="020B0604030504040204" pitchFamily="50" charset="-128"/>
              <a:ea typeface="Meiryo UI" panose="020B0604030504040204" pitchFamily="50" charset="-128"/>
            </a:rPr>
            <a:t>(</a:t>
          </a:r>
          <a:r>
            <a:rPr kumimoji="1" lang="ja-JP" altLang="en-US" sz="1000" b="0">
              <a:solidFill>
                <a:schemeClr val="bg1"/>
              </a:solidFill>
              <a:latin typeface="Meiryo UI" panose="020B0604030504040204" pitchFamily="50" charset="-128"/>
              <a:ea typeface="Meiryo UI" panose="020B0604030504040204" pitchFamily="50" charset="-128"/>
            </a:rPr>
            <a:t>目途</a:t>
          </a:r>
          <a:r>
            <a:rPr kumimoji="1" lang="en-US" altLang="ja-JP" sz="1000" b="0">
              <a:solidFill>
                <a:schemeClr val="bg1"/>
              </a:solidFill>
              <a:latin typeface="Meiryo UI" panose="020B0604030504040204" pitchFamily="50" charset="-128"/>
              <a:ea typeface="Meiryo UI" panose="020B0604030504040204" pitchFamily="50" charset="-128"/>
            </a:rPr>
            <a:t>)</a:t>
          </a:r>
          <a:r>
            <a:rPr kumimoji="1" lang="ja-JP" altLang="en-US" sz="1000" b="0">
              <a:solidFill>
                <a:schemeClr val="bg1"/>
              </a:solidFill>
              <a:latin typeface="Meiryo UI" panose="020B0604030504040204" pitchFamily="50" charset="-128"/>
              <a:ea typeface="Meiryo UI" panose="020B0604030504040204" pitchFamily="50" charset="-128"/>
            </a:rPr>
            <a:t>までに来日要件を満たした確定版の提出が必須です。</a:t>
          </a:r>
          <a:endParaRPr kumimoji="1" lang="en-US" altLang="ja-JP" sz="1000" b="0">
            <a:solidFill>
              <a:schemeClr val="bg1"/>
            </a:solidFill>
            <a:latin typeface="Meiryo UI" panose="020B0604030504040204" pitchFamily="50" charset="-128"/>
            <a:ea typeface="Meiryo UI" panose="020B0604030504040204" pitchFamily="50" charset="-128"/>
          </a:endParaRPr>
        </a:p>
        <a:p>
          <a:pPr algn="l">
            <a:lnSpc>
              <a:spcPts val="1400"/>
            </a:lnSpc>
          </a:pPr>
          <a:r>
            <a:rPr kumimoji="1" lang="ja-JP" altLang="en-US" sz="1000" b="0">
              <a:solidFill>
                <a:schemeClr val="bg1"/>
              </a:solidFill>
              <a:latin typeface="Meiryo UI" panose="020B0604030504040204" pitchFamily="50" charset="-128"/>
              <a:ea typeface="Meiryo UI" panose="020B0604030504040204" pitchFamily="50" charset="-128"/>
            </a:rPr>
            <a:t>　募集要項を再度ご確認いただき、来日要件を満たしている事を確認後、招へい者の要件欄（未確定）のセルにおいて「✔」を選択し確定版としてください。</a:t>
          </a:r>
          <a:endParaRPr kumimoji="1" lang="en-US" altLang="ja-JP" sz="1000" b="0">
            <a:solidFill>
              <a:schemeClr val="bg1"/>
            </a:solidFill>
            <a:latin typeface="Meiryo UI" panose="020B0604030504040204" pitchFamily="50" charset="-128"/>
            <a:ea typeface="Meiryo UI" panose="020B0604030504040204" pitchFamily="50" charset="-128"/>
          </a:endParaRPr>
        </a:p>
      </xdr:txBody>
    </xdr:sp>
    <xdr:clientData fPrintsWithSheet="0"/>
  </xdr:twoCellAnchor>
  <xdr:twoCellAnchor editAs="oneCell">
    <xdr:from>
      <xdr:col>18</xdr:col>
      <xdr:colOff>53975</xdr:colOff>
      <xdr:row>0</xdr:row>
      <xdr:rowOff>69850</xdr:rowOff>
    </xdr:from>
    <xdr:to>
      <xdr:col>21</xdr:col>
      <xdr:colOff>250825</xdr:colOff>
      <xdr:row>5</xdr:row>
      <xdr:rowOff>66675</xdr:rowOff>
    </xdr:to>
    <xdr:sp macro="" textlink="">
      <xdr:nvSpPr>
        <xdr:cNvPr id="3" name="四角形: 角を丸くする 2">
          <a:extLst>
            <a:ext uri="{FF2B5EF4-FFF2-40B4-BE49-F238E27FC236}">
              <a16:creationId xmlns:a16="http://schemas.microsoft.com/office/drawing/2014/main" id="{741282D8-635E-476E-B669-A9A8BF830CFF}"/>
            </a:ext>
          </a:extLst>
        </xdr:cNvPr>
        <xdr:cNvSpPr/>
      </xdr:nvSpPr>
      <xdr:spPr>
        <a:xfrm>
          <a:off x="12379325" y="69850"/>
          <a:ext cx="4216400" cy="987425"/>
        </a:xfrm>
        <a:prstGeom prst="roundRect">
          <a:avLst>
            <a:gd name="adj" fmla="val 5584"/>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36000" bIns="36000" rtlCol="0" anchor="t"/>
        <a:lstStyle/>
        <a:p>
          <a:pPr algn="l">
            <a:lnSpc>
              <a:spcPts val="1500"/>
            </a:lnSpc>
          </a:pPr>
          <a:r>
            <a:rPr lang="en-US" altLang="ja-JP" sz="900" b="0">
              <a:solidFill>
                <a:sysClr val="windowText" lastClr="000000"/>
              </a:solidFill>
              <a:effectLst/>
              <a:latin typeface="Meiryo UI" panose="020B0604030504040204" pitchFamily="50" charset="-128"/>
              <a:ea typeface="Meiryo UI" panose="020B0604030504040204" pitchFamily="50" charset="-128"/>
            </a:rPr>
            <a:t>【</a:t>
          </a:r>
          <a:r>
            <a:rPr lang="ja-JP" altLang="en-US" sz="900" b="0">
              <a:solidFill>
                <a:sysClr val="windowText" lastClr="000000"/>
              </a:solidFill>
              <a:effectLst/>
              <a:latin typeface="Meiryo UI" panose="020B0604030504040204" pitchFamily="50" charset="-128"/>
              <a:ea typeface="Meiryo UI" panose="020B0604030504040204" pitchFamily="50" charset="-128"/>
            </a:rPr>
            <a:t>招へい者氏名について</a:t>
          </a:r>
          <a:r>
            <a:rPr lang="en-US" altLang="ja-JP" sz="900" b="0">
              <a:solidFill>
                <a:sysClr val="windowText" lastClr="000000"/>
              </a:solidFill>
              <a:effectLst/>
              <a:latin typeface="Meiryo UI" panose="020B0604030504040204" pitchFamily="50" charset="-128"/>
              <a:ea typeface="Meiryo UI" panose="020B0604030504040204" pitchFamily="50" charset="-128"/>
            </a:rPr>
            <a:t>】</a:t>
          </a:r>
        </a:p>
        <a:p>
          <a:pPr algn="l">
            <a:lnSpc>
              <a:spcPts val="1500"/>
            </a:lnSpc>
          </a:pPr>
          <a:r>
            <a:rPr lang="ja-JP" altLang="en-US" sz="900" b="0">
              <a:solidFill>
                <a:sysClr val="windowText" lastClr="000000"/>
              </a:solidFill>
              <a:effectLst/>
              <a:latin typeface="Meiryo UI" panose="020B0604030504040204" pitchFamily="50" charset="-128"/>
              <a:ea typeface="Meiryo UI" panose="020B0604030504040204" pitchFamily="50" charset="-128"/>
            </a:rPr>
            <a:t>・</a:t>
          </a:r>
          <a:r>
            <a:rPr lang="ja-JP" altLang="en-US" sz="900" b="0" u="sng">
              <a:solidFill>
                <a:srgbClr val="FF0000"/>
              </a:solidFill>
              <a:effectLst/>
              <a:latin typeface="Meiryo UI" panose="020B0604030504040204" pitchFamily="50" charset="-128"/>
              <a:ea typeface="Meiryo UI" panose="020B0604030504040204" pitchFamily="50" charset="-128"/>
            </a:rPr>
            <a:t>パスポートの表記通り</a:t>
          </a:r>
          <a:r>
            <a:rPr lang="ja-JP" altLang="en-US" sz="900" b="0">
              <a:solidFill>
                <a:sysClr val="windowText" lastClr="000000"/>
              </a:solidFill>
              <a:effectLst/>
              <a:latin typeface="Meiryo UI" panose="020B0604030504040204" pitchFamily="50" charset="-128"/>
              <a:ea typeface="Meiryo UI" panose="020B0604030504040204" pitchFamily="50" charset="-128"/>
            </a:rPr>
            <a:t>記入してください。</a:t>
          </a:r>
          <a:r>
            <a:rPr lang="en-US" altLang="ja-JP" sz="900" b="0">
              <a:solidFill>
                <a:sysClr val="windowText" lastClr="000000"/>
              </a:solidFill>
              <a:effectLst/>
              <a:latin typeface="Meiryo UI" panose="020B0604030504040204" pitchFamily="50" charset="-128"/>
              <a:ea typeface="Meiryo UI" panose="020B0604030504040204" pitchFamily="50" charset="-128"/>
            </a:rPr>
            <a:t> (</a:t>
          </a:r>
          <a:r>
            <a:rPr lang="ja-JP" altLang="en-US" sz="900" b="0">
              <a:solidFill>
                <a:sysClr val="windowText" lastClr="000000"/>
              </a:solidFill>
              <a:effectLst/>
              <a:latin typeface="Meiryo UI" panose="020B0604030504040204" pitchFamily="50" charset="-128"/>
              <a:ea typeface="Meiryo UI" panose="020B0604030504040204" pitchFamily="50" charset="-128"/>
            </a:rPr>
            <a:t>姓名の順番はパスポート表記の上から記入）</a:t>
          </a:r>
          <a:endParaRPr lang="en-US" altLang="ja-JP" sz="900" b="0">
            <a:solidFill>
              <a:sysClr val="windowText" lastClr="000000"/>
            </a:solidFill>
            <a:effectLst/>
            <a:latin typeface="Meiryo UI" panose="020B0604030504040204" pitchFamily="50" charset="-128"/>
            <a:ea typeface="Meiryo UI" panose="020B0604030504040204" pitchFamily="50" charset="-128"/>
          </a:endParaRPr>
        </a:p>
        <a:p>
          <a:pPr algn="l">
            <a:lnSpc>
              <a:spcPts val="1500"/>
            </a:lnSpc>
          </a:pPr>
          <a:r>
            <a:rPr lang="ja-JP" altLang="en-US" sz="900" b="0">
              <a:solidFill>
                <a:sysClr val="windowText" lastClr="000000"/>
              </a:solidFill>
              <a:effectLst/>
              <a:latin typeface="Meiryo UI" panose="020B0604030504040204" pitchFamily="50" charset="-128"/>
              <a:ea typeface="Meiryo UI" panose="020B0604030504040204" pitchFamily="50" charset="-128"/>
            </a:rPr>
            <a:t>・すべて</a:t>
          </a:r>
          <a:r>
            <a:rPr lang="ja-JP" altLang="en-US" sz="900" b="0" u="sng">
              <a:solidFill>
                <a:srgbClr val="FF0000"/>
              </a:solidFill>
              <a:effectLst/>
              <a:latin typeface="Meiryo UI" panose="020B0604030504040204" pitchFamily="50" charset="-128"/>
              <a:ea typeface="Meiryo UI" panose="020B0604030504040204" pitchFamily="50" charset="-128"/>
            </a:rPr>
            <a:t>大文字半角</a:t>
          </a:r>
          <a:r>
            <a:rPr lang="ja-JP" altLang="en-US" sz="900" b="0">
              <a:solidFill>
                <a:sysClr val="windowText" lastClr="000000"/>
              </a:solidFill>
              <a:effectLst/>
              <a:latin typeface="Meiryo UI" panose="020B0604030504040204" pitchFamily="50" charset="-128"/>
              <a:ea typeface="Meiryo UI" panose="020B0604030504040204" pitchFamily="50" charset="-128"/>
            </a:rPr>
            <a:t>で入力してください。</a:t>
          </a:r>
          <a:endParaRPr lang="en-US" altLang="ja-JP" sz="900" b="0">
            <a:solidFill>
              <a:sysClr val="windowText" lastClr="000000"/>
            </a:solidFill>
            <a:effectLst/>
            <a:latin typeface="Meiryo UI" panose="020B0604030504040204" pitchFamily="50" charset="-128"/>
            <a:ea typeface="Meiryo UI" panose="020B0604030504040204" pitchFamily="50" charset="-128"/>
          </a:endParaRPr>
        </a:p>
        <a:p>
          <a:pPr algn="l">
            <a:lnSpc>
              <a:spcPts val="1500"/>
            </a:lnSpc>
          </a:pPr>
          <a:r>
            <a:rPr lang="ja-JP" altLang="en-US" sz="900" b="0">
              <a:solidFill>
                <a:sysClr val="windowText" lastClr="000000"/>
              </a:solidFill>
              <a:effectLst/>
              <a:latin typeface="Meiryo UI" panose="020B0604030504040204" pitchFamily="50" charset="-128"/>
              <a:ea typeface="Meiryo UI" panose="020B0604030504040204" pitchFamily="50" charset="-128"/>
            </a:rPr>
            <a:t>・改行や氏名の前後に不要なスペースが入っていないか確認してください。</a:t>
          </a:r>
          <a:endParaRPr lang="en-US" altLang="ja-JP" sz="900" b="0">
            <a:solidFill>
              <a:sysClr val="windowText" lastClr="000000"/>
            </a:solidFill>
            <a:effectLst/>
            <a:latin typeface="Meiryo UI" panose="020B0604030504040204" pitchFamily="50" charset="-128"/>
            <a:ea typeface="Meiryo UI" panose="020B0604030504040204" pitchFamily="50" charset="-128"/>
          </a:endParaRPr>
        </a:p>
      </xdr:txBody>
    </xdr:sp>
    <xdr:clientData fPrintsWithSheet="0"/>
  </xdr:twoCellAnchor>
  <xdr:oneCellAnchor>
    <xdr:from>
      <xdr:col>16</xdr:col>
      <xdr:colOff>400050</xdr:colOff>
      <xdr:row>3</xdr:row>
      <xdr:rowOff>76200</xdr:rowOff>
    </xdr:from>
    <xdr:ext cx="104775" cy="47625"/>
    <xdr:pic>
      <xdr:nvPicPr>
        <xdr:cNvPr id="5" name="図 5">
          <a:extLst>
            <a:ext uri="{FF2B5EF4-FFF2-40B4-BE49-F238E27FC236}">
              <a16:creationId xmlns:a16="http://schemas.microsoft.com/office/drawing/2014/main" id="{A8F1A6B6-3C94-476C-A893-A99FF11BA58B}"/>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11220450" y="704850"/>
          <a:ext cx="104775" cy="47625"/>
        </a:xfrm>
        <a:prstGeom prst="rect">
          <a:avLst/>
        </a:prstGeom>
      </xdr:spPr>
    </xdr:pic>
    <xdr:clientData/>
  </xdr:oneCellAnchor>
  <xdr:twoCellAnchor editAs="oneCell">
    <xdr:from>
      <xdr:col>18</xdr:col>
      <xdr:colOff>47625</xdr:colOff>
      <xdr:row>16</xdr:row>
      <xdr:rowOff>38100</xdr:rowOff>
    </xdr:from>
    <xdr:to>
      <xdr:col>18</xdr:col>
      <xdr:colOff>2876550</xdr:colOff>
      <xdr:row>17</xdr:row>
      <xdr:rowOff>304800</xdr:rowOff>
    </xdr:to>
    <xdr:sp macro="" textlink="">
      <xdr:nvSpPr>
        <xdr:cNvPr id="8" name="四角形: 角を丸くする 7">
          <a:extLst>
            <a:ext uri="{FF2B5EF4-FFF2-40B4-BE49-F238E27FC236}">
              <a16:creationId xmlns:a16="http://schemas.microsoft.com/office/drawing/2014/main" id="{ED911961-849F-4759-B488-72FB55CA50EC}"/>
            </a:ext>
          </a:extLst>
        </xdr:cNvPr>
        <xdr:cNvSpPr/>
      </xdr:nvSpPr>
      <xdr:spPr>
        <a:xfrm>
          <a:off x="12372975" y="3086100"/>
          <a:ext cx="2828925" cy="447675"/>
        </a:xfrm>
        <a:prstGeom prst="roundRect">
          <a:avLst>
            <a:gd name="adj" fmla="val 15915"/>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ctr"/>
        <a:lstStyle/>
        <a:p>
          <a:pPr marL="0" marR="0" lvl="0" indent="0" algn="l" defTabSz="914400" eaLnBrk="1" fontAlgn="auto" latinLnBrk="0" hangingPunct="1">
            <a:lnSpc>
              <a:spcPts val="1500"/>
            </a:lnSpc>
            <a:spcBef>
              <a:spcPts val="0"/>
            </a:spcBef>
            <a:spcAft>
              <a:spcPts val="0"/>
            </a:spcAft>
            <a:buClrTx/>
            <a:buSzTx/>
            <a:buFontTx/>
            <a:buNone/>
            <a:tabLst/>
            <a:defRPr/>
          </a:pPr>
          <a:r>
            <a:rPr kumimoji="1" lang="ja-JP" altLang="en-US" sz="900" b="0">
              <a:solidFill>
                <a:srgbClr val="FF0000"/>
              </a:solidFill>
              <a:latin typeface="Meiryo UI" panose="020B0604030504040204" pitchFamily="50" charset="-128"/>
              <a:ea typeface="Meiryo UI" panose="020B0604030504040204" pitchFamily="50" charset="-128"/>
            </a:rPr>
            <a:t>←条件に合っていない場合、赤塗りつぶしで表示されます。</a:t>
          </a:r>
          <a:endParaRPr kumimoji="1" lang="en-US" altLang="ja-JP" sz="900" b="0">
            <a:solidFill>
              <a:srgbClr val="FF0000"/>
            </a:solidFill>
            <a:latin typeface="Meiryo UI" panose="020B0604030504040204" pitchFamily="50" charset="-128"/>
            <a:ea typeface="Meiryo UI" panose="020B0604030504040204" pitchFamily="50" charset="-128"/>
          </a:endParaRPr>
        </a:p>
      </xdr:txBody>
    </xdr:sp>
    <xdr:clientData fPrintsWithSheet="0"/>
  </xdr:twoCellAnchor>
  <xdr:twoCellAnchor>
    <xdr:from>
      <xdr:col>3</xdr:col>
      <xdr:colOff>285751</xdr:colOff>
      <xdr:row>14</xdr:row>
      <xdr:rowOff>114300</xdr:rowOff>
    </xdr:from>
    <xdr:to>
      <xdr:col>6</xdr:col>
      <xdr:colOff>95250</xdr:colOff>
      <xdr:row>15</xdr:row>
      <xdr:rowOff>180975</xdr:rowOff>
    </xdr:to>
    <xdr:sp macro="" textlink="">
      <xdr:nvSpPr>
        <xdr:cNvPr id="10" name="吹き出し: 角を丸めた四角形 9">
          <a:extLst>
            <a:ext uri="{FF2B5EF4-FFF2-40B4-BE49-F238E27FC236}">
              <a16:creationId xmlns:a16="http://schemas.microsoft.com/office/drawing/2014/main" id="{7B514E1D-ACDF-D2F4-F0FF-49052A81B5A9}"/>
            </a:ext>
          </a:extLst>
        </xdr:cNvPr>
        <xdr:cNvSpPr/>
      </xdr:nvSpPr>
      <xdr:spPr>
        <a:xfrm>
          <a:off x="3686176" y="2609850"/>
          <a:ext cx="1809749" cy="257175"/>
        </a:xfrm>
        <a:prstGeom prst="wedgeRoundRectCallout">
          <a:avLst>
            <a:gd name="adj1" fmla="val -44290"/>
            <a:gd name="adj2" fmla="val 105536"/>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lnSpc>
              <a:spcPts val="1000"/>
            </a:lnSpc>
          </a:pPr>
          <a:r>
            <a:rPr kumimoji="1" lang="en-US" altLang="ja-JP" sz="900" b="0">
              <a:solidFill>
                <a:sysClr val="windowText" lastClr="000000"/>
              </a:solidFill>
              <a:effectLst/>
              <a:latin typeface="+mn-lt"/>
              <a:ea typeface="+mn-ea"/>
              <a:cs typeface="+mn-cs"/>
            </a:rPr>
            <a:t> M=Male,F=Female,O=Other</a:t>
          </a:r>
        </a:p>
      </xdr:txBody>
    </xdr:sp>
    <xdr:clientData fPrintsWithSheet="0"/>
  </xdr:twoCellAnchor>
</xdr:wsDr>
</file>

<file path=xl/drawings/drawing9.xml><?xml version="1.0" encoding="utf-8"?>
<xdr:wsDr xmlns:xdr="http://schemas.openxmlformats.org/drawingml/2006/spreadsheetDrawing" xmlns:a="http://schemas.openxmlformats.org/drawingml/2006/main">
  <xdr:twoCellAnchor editAs="oneCell">
    <xdr:from>
      <xdr:col>5</xdr:col>
      <xdr:colOff>654685</xdr:colOff>
      <xdr:row>6</xdr:row>
      <xdr:rowOff>84018</xdr:rowOff>
    </xdr:from>
    <xdr:to>
      <xdr:col>5</xdr:col>
      <xdr:colOff>952500</xdr:colOff>
      <xdr:row>6</xdr:row>
      <xdr:rowOff>131441</xdr:rowOff>
    </xdr:to>
    <xdr:pic>
      <xdr:nvPicPr>
        <xdr:cNvPr id="5" name="図 4">
          <a:extLst>
            <a:ext uri="{FF2B5EF4-FFF2-40B4-BE49-F238E27FC236}">
              <a16:creationId xmlns:a16="http://schemas.microsoft.com/office/drawing/2014/main" id="{B691367A-8CB8-40BD-87E9-9A73E7ECA26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flipV="1">
          <a:off x="6322060" y="84018"/>
          <a:ext cx="297815" cy="47423"/>
        </a:xfrm>
        <a:prstGeom prst="rect">
          <a:avLst/>
        </a:prstGeom>
      </xdr:spPr>
    </xdr:pic>
    <xdr:clientData/>
  </xdr:twoCellAnchor>
  <xdr:twoCellAnchor>
    <xdr:from>
      <xdr:col>0</xdr:col>
      <xdr:colOff>0</xdr:colOff>
      <xdr:row>2</xdr:row>
      <xdr:rowOff>6350</xdr:rowOff>
    </xdr:from>
    <xdr:to>
      <xdr:col>6</xdr:col>
      <xdr:colOff>6350</xdr:colOff>
      <xdr:row>5</xdr:row>
      <xdr:rowOff>184150</xdr:rowOff>
    </xdr:to>
    <xdr:sp macro="" textlink="">
      <xdr:nvSpPr>
        <xdr:cNvPr id="9220" name="Text Box 4">
          <a:extLst>
            <a:ext uri="{FF2B5EF4-FFF2-40B4-BE49-F238E27FC236}">
              <a16:creationId xmlns:a16="http://schemas.microsoft.com/office/drawing/2014/main" id="{02A2CCCE-568E-492A-8131-F4C84B8B1ACE}"/>
            </a:ext>
          </a:extLst>
        </xdr:cNvPr>
        <xdr:cNvSpPr txBox="1">
          <a:spLocks noChangeArrowheads="1"/>
        </xdr:cNvSpPr>
      </xdr:nvSpPr>
      <xdr:spPr bwMode="auto">
        <a:xfrm>
          <a:off x="0" y="425450"/>
          <a:ext cx="8140700" cy="787400"/>
        </a:xfrm>
        <a:prstGeom prst="rect">
          <a:avLst/>
        </a:prstGeom>
        <a:solidFill>
          <a:srgbClr val="FFFFFF"/>
        </a:solidFill>
        <a:ln w="9525">
          <a:noFill/>
          <a:miter lim="800000"/>
          <a:headEnd/>
          <a:tailEnd/>
        </a:ln>
      </xdr:spPr>
      <xdr:txBody>
        <a:bodyPr vertOverflow="clip" wrap="square" lIns="108000" tIns="0" rIns="0" bIns="0" anchor="ctr" upright="1"/>
        <a:lstStyle/>
        <a:p>
          <a:pPr algn="l" rtl="0">
            <a:lnSpc>
              <a:spcPts val="1300"/>
            </a:lnSpc>
            <a:defRPr sz="1000"/>
          </a:pPr>
          <a:r>
            <a:rPr lang="ja-JP" altLang="en-US" sz="1000" b="0" i="0" u="none" strike="noStrike" baseline="0">
              <a:solidFill>
                <a:srgbClr val="FF0000"/>
              </a:solidFill>
              <a:latin typeface="Meiryo UI"/>
              <a:ea typeface="Meiryo UI"/>
            </a:rPr>
            <a:t>＊科学技術に関するプログラムを減らし、文化体験や自由行動を追加する変更は原則としてできません。</a:t>
          </a:r>
        </a:p>
        <a:p>
          <a:pPr algn="l" rtl="0">
            <a:lnSpc>
              <a:spcPts val="1300"/>
            </a:lnSpc>
            <a:defRPr sz="1000"/>
          </a:pPr>
          <a:r>
            <a:rPr lang="ja-JP" altLang="en-US" sz="1000" b="0" i="0" u="none" strike="noStrike" baseline="0">
              <a:solidFill>
                <a:srgbClr val="FF0000"/>
              </a:solidFill>
              <a:latin typeface="Meiryo UI"/>
              <a:ea typeface="Meiryo UI"/>
            </a:rPr>
            <a:t>＊変更承認申請書を要しない内容であっても、目的・趣旨に照らしてJSTが不適当と判断する場合には変更を認めない場合があります。</a:t>
          </a:r>
        </a:p>
        <a:p>
          <a:pPr algn="l" rtl="0">
            <a:lnSpc>
              <a:spcPts val="1300"/>
            </a:lnSpc>
            <a:defRPr sz="1000"/>
          </a:pPr>
          <a:r>
            <a:rPr lang="ja-JP" altLang="en-US" sz="1000" b="0" i="0" u="none" strike="noStrike" baseline="0">
              <a:solidFill>
                <a:srgbClr val="FF0000"/>
              </a:solidFill>
              <a:latin typeface="Meiryo UI"/>
              <a:ea typeface="Meiryo UI"/>
            </a:rPr>
            <a:t>＊終了報告時に変更が発覚した場合はお認めできかねますので、必ず事前に変更のご連絡をお願いします。</a:t>
          </a:r>
        </a:p>
        <a:p>
          <a:pPr algn="l" rtl="0">
            <a:lnSpc>
              <a:spcPts val="1300"/>
            </a:lnSpc>
            <a:defRPr sz="1000"/>
          </a:pPr>
          <a:r>
            <a:rPr lang="ja-JP" altLang="en-US" sz="1000" b="0" i="0" u="none" strike="noStrike" baseline="0">
              <a:solidFill>
                <a:srgbClr val="FF0000"/>
              </a:solidFill>
              <a:latin typeface="Meiryo UI"/>
              <a:ea typeface="Meiryo UI"/>
            </a:rPr>
            <a:t>＊複数の変更が同時に発生する場合も変更内容種別ごとに記入してください。</a:t>
          </a:r>
        </a:p>
      </xdr:txBody>
    </xdr:sp>
    <xdr:clientData fPrintsWithSheet="0"/>
  </xdr:twoCellAnchor>
  <xdr:twoCellAnchor editAs="absolute">
    <xdr:from>
      <xdr:col>2</xdr:col>
      <xdr:colOff>82550</xdr:colOff>
      <xdr:row>5</xdr:row>
      <xdr:rowOff>187325</xdr:rowOff>
    </xdr:from>
    <xdr:to>
      <xdr:col>5</xdr:col>
      <xdr:colOff>1057275</xdr:colOff>
      <xdr:row>8</xdr:row>
      <xdr:rowOff>57150</xdr:rowOff>
    </xdr:to>
    <xdr:sp macro="" textlink="">
      <xdr:nvSpPr>
        <xdr:cNvPr id="9" name="四角形: 角を丸くする 8">
          <a:extLst>
            <a:ext uri="{FF2B5EF4-FFF2-40B4-BE49-F238E27FC236}">
              <a16:creationId xmlns:a16="http://schemas.microsoft.com/office/drawing/2014/main" id="{803B5533-4F18-41B1-9EAA-950E3E7D4425}"/>
            </a:ext>
          </a:extLst>
        </xdr:cNvPr>
        <xdr:cNvSpPr/>
      </xdr:nvSpPr>
      <xdr:spPr>
        <a:xfrm>
          <a:off x="1225550" y="1158875"/>
          <a:ext cx="5803900" cy="479425"/>
        </a:xfrm>
        <a:prstGeom prst="roundRect">
          <a:avLst>
            <a:gd name="adj" fmla="val 129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lnSpc>
              <a:spcPts val="1400"/>
            </a:lnSpc>
          </a:pPr>
          <a:r>
            <a:rPr kumimoji="1" lang="ja-JP" altLang="en-US" sz="1000" b="1">
              <a:solidFill>
                <a:srgbClr val="FFFF00"/>
              </a:solidFill>
              <a:latin typeface="Meiryo UI" panose="020B0604030504040204" pitchFamily="50" charset="-128"/>
              <a:ea typeface="Meiryo UI" panose="020B0604030504040204" pitchFamily="50" charset="-128"/>
            </a:rPr>
            <a:t>　契約後、変更があった場合に使用します。</a:t>
          </a:r>
          <a:r>
            <a:rPr kumimoji="1" lang="ja-JP" altLang="en-US" sz="1000" b="1">
              <a:solidFill>
                <a:schemeClr val="bg1"/>
              </a:solidFill>
              <a:latin typeface="Meiryo UI" panose="020B0604030504040204" pitchFamily="50" charset="-128"/>
              <a:ea typeface="Meiryo UI" panose="020B0604030504040204" pitchFamily="50" charset="-128"/>
            </a:rPr>
            <a:t>変更があった場合は、右記の記入例を参考に記入してください。</a:t>
          </a:r>
          <a:endParaRPr kumimoji="1" lang="en-US" altLang="ja-JP" sz="1000" b="1">
            <a:solidFill>
              <a:schemeClr val="bg1"/>
            </a:solidFill>
            <a:latin typeface="Meiryo UI" panose="020B0604030504040204" pitchFamily="50" charset="-128"/>
            <a:ea typeface="Meiryo UI" panose="020B0604030504040204" pitchFamily="50" charset="-128"/>
          </a:endParaRPr>
        </a:p>
        <a:p>
          <a:pPr algn="l">
            <a:lnSpc>
              <a:spcPts val="1400"/>
            </a:lnSpc>
          </a:pPr>
          <a:r>
            <a:rPr kumimoji="1" lang="ja-JP" altLang="en-US" sz="1000" b="1">
              <a:solidFill>
                <a:schemeClr val="bg1"/>
              </a:solidFill>
              <a:latin typeface="Meiryo UI" panose="020B0604030504040204" pitchFamily="50" charset="-128"/>
              <a:ea typeface="Meiryo UI" panose="020B0604030504040204" pitchFamily="50" charset="-128"/>
            </a:rPr>
            <a:t>　</a:t>
          </a:r>
          <a:r>
            <a:rPr kumimoji="1" lang="en-US" altLang="ja-JP" sz="1000" b="1">
              <a:solidFill>
                <a:schemeClr val="bg1"/>
              </a:solidFill>
              <a:latin typeface="Meiryo UI" panose="020B0604030504040204" pitchFamily="50" charset="-128"/>
              <a:ea typeface="Meiryo UI" panose="020B0604030504040204" pitchFamily="50" charset="-128"/>
            </a:rPr>
            <a:t>※</a:t>
          </a:r>
          <a:r>
            <a:rPr kumimoji="1" lang="ja-JP" altLang="en-US" sz="1000" b="1">
              <a:solidFill>
                <a:schemeClr val="bg1"/>
              </a:solidFill>
              <a:latin typeface="Meiryo UI" panose="020B0604030504040204" pitchFamily="50" charset="-128"/>
              <a:ea typeface="Meiryo UI" panose="020B0604030504040204" pitchFamily="50" charset="-128"/>
            </a:rPr>
            <a:t>採択後に変更があった場合は、改訂履歴へは記入せずに契約担当者へその旨お知らせください。</a:t>
          </a:r>
          <a:endParaRPr kumimoji="1" lang="en-US" altLang="ja-JP" sz="1000" b="1">
            <a:solidFill>
              <a:schemeClr val="bg1"/>
            </a:solidFill>
            <a:latin typeface="Meiryo UI" panose="020B0604030504040204" pitchFamily="50" charset="-128"/>
            <a:ea typeface="Meiryo UI" panose="020B0604030504040204" pitchFamily="50" charset="-128"/>
          </a:endParaRPr>
        </a:p>
      </xdr:txBody>
    </xdr:sp>
    <xdr:clientData fPrintsWithSheet="0"/>
  </xdr:twoCellAnchor>
</xdr:wsDr>
</file>

<file path=xl/drawings/drawing10.xml><?xml version="1.0" encoding="utf-8"?>
<xdr:wsDr xmlns:xdr="http://schemas.openxmlformats.org/drawingml/2006/spreadsheetDrawing" xmlns:a="http://schemas.openxmlformats.org/drawingml/2006/main">
  <xdr:twoCellAnchor editAs="oneCell">
    <xdr:from>
      <xdr:col>1</xdr:col>
      <xdr:colOff>295275</xdr:colOff>
      <xdr:row>0</xdr:row>
      <xdr:rowOff>0</xdr:rowOff>
    </xdr:from>
    <xdr:to>
      <xdr:col>1</xdr:col>
      <xdr:colOff>403275</xdr:colOff>
      <xdr:row>0</xdr:row>
      <xdr:rowOff>42912</xdr:rowOff>
    </xdr:to>
    <xdr:pic>
      <xdr:nvPicPr>
        <xdr:cNvPr id="4" name="図 3">
          <a:extLst>
            <a:ext uri="{FF2B5EF4-FFF2-40B4-BE49-F238E27FC236}">
              <a16:creationId xmlns:a16="http://schemas.microsoft.com/office/drawing/2014/main" id="{BC019897-116A-4CDD-ACAC-2FBA3AA83EFC}"/>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1695450" y="0"/>
          <a:ext cx="108000" cy="42912"/>
        </a:xfrm>
        <a:prstGeom prst="rect">
          <a:avLst/>
        </a:prstGeom>
      </xdr:spPr>
    </xdr:pic>
    <xdr:clientData/>
  </xdr:twoCellAnchor>
  <xdr:oneCellAnchor>
    <xdr:from>
      <xdr:col>7</xdr:col>
      <xdr:colOff>295275</xdr:colOff>
      <xdr:row>0</xdr:row>
      <xdr:rowOff>0</xdr:rowOff>
    </xdr:from>
    <xdr:ext cx="108000" cy="42912"/>
    <xdr:pic>
      <xdr:nvPicPr>
        <xdr:cNvPr id="2" name="図 1">
          <a:extLst>
            <a:ext uri="{FF2B5EF4-FFF2-40B4-BE49-F238E27FC236}">
              <a16:creationId xmlns:a16="http://schemas.microsoft.com/office/drawing/2014/main" id="{BF34E6D2-4CE6-4B33-BA5A-B12D09495588}"/>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1695450" y="0"/>
          <a:ext cx="108000" cy="42912"/>
        </a:xfrm>
        <a:prstGeom prst="rect">
          <a:avLst/>
        </a:prstGeom>
      </xdr:spPr>
    </xdr:pic>
    <xdr:clientData/>
  </xdr:oneCellAnchor>
  <xdr:oneCellAnchor>
    <xdr:from>
      <xdr:col>11</xdr:col>
      <xdr:colOff>0</xdr:colOff>
      <xdr:row>0</xdr:row>
      <xdr:rowOff>0</xdr:rowOff>
    </xdr:from>
    <xdr:ext cx="108000" cy="42912"/>
    <xdr:pic>
      <xdr:nvPicPr>
        <xdr:cNvPr id="3" name="図 2">
          <a:extLst>
            <a:ext uri="{FF2B5EF4-FFF2-40B4-BE49-F238E27FC236}">
              <a16:creationId xmlns:a16="http://schemas.microsoft.com/office/drawing/2014/main" id="{383A0166-E167-4717-83E5-21D52E420B1D}"/>
            </a:ext>
          </a:extLst>
        </xdr:cNvPr>
        <xdr:cNvPicPr>
          <a:picLocks noChangeAspect="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7724775" y="0"/>
          <a:ext cx="108000" cy="42912"/>
        </a:xfrm>
        <a:prstGeom prst="rect">
          <a:avLst/>
        </a:prstGeom>
      </xdr:spPr>
    </xdr:pic>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lIns="0" tIns="0" rIns="0" bIns="0" rtlCol="0" anchor="ctr"/>
      <a:lstStyle>
        <a:defPPr algn="l">
          <a:lnSpc>
            <a:spcPts val="1400"/>
          </a:lnSpc>
          <a:defRPr kumimoji="1" sz="1000" b="0">
            <a:solidFill>
              <a:schemeClr val="bg1"/>
            </a:solidFill>
            <a:latin typeface="Meiryo UI" panose="020B0604030504040204" pitchFamily="50" charset="-128"/>
            <a:ea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12A3BE-9419-4339-B224-1CFB58050633}">
  <sheetPr codeName="Sheet1">
    <pageSetUpPr fitToPage="1"/>
  </sheetPr>
  <dimension ref="A1:M42"/>
  <sheetViews>
    <sheetView showGridLines="0" tabSelected="1" zoomScaleNormal="100" zoomScaleSheetLayoutView="100" workbookViewId="0"/>
  </sheetViews>
  <sheetFormatPr defaultColWidth="0" defaultRowHeight="15.75"/>
  <cols>
    <col min="1" max="1" width="18.77734375" style="324" customWidth="1"/>
    <col min="2" max="2" width="10.44140625" style="324" customWidth="1"/>
    <col min="3" max="3" width="7.33203125" style="324" customWidth="1"/>
    <col min="4" max="5" width="7.77734375" style="324" customWidth="1"/>
    <col min="6" max="6" width="13.77734375" style="324" customWidth="1"/>
    <col min="7" max="7" width="16.77734375" style="324" customWidth="1"/>
    <col min="8" max="9" width="1.109375" style="324" customWidth="1"/>
    <col min="10" max="10" width="18.88671875" style="324" customWidth="1"/>
    <col min="11" max="11" width="19.88671875" style="324" customWidth="1"/>
    <col min="12" max="12" width="22.109375" style="324" customWidth="1"/>
    <col min="13" max="13" width="0.88671875" style="324" customWidth="1"/>
    <col min="14" max="16384" width="9.109375" style="324" hidden="1"/>
  </cols>
  <sheetData>
    <row r="1" spans="1:13" customFormat="1" ht="15" customHeight="1">
      <c r="A1" s="39"/>
      <c r="G1" s="34" t="s">
        <v>544</v>
      </c>
      <c r="H1" s="98"/>
      <c r="I1" s="324"/>
      <c r="J1" s="561" t="s">
        <v>551</v>
      </c>
      <c r="K1" s="561"/>
      <c r="L1" s="561"/>
      <c r="M1" s="324"/>
    </row>
    <row r="2" spans="1:13" customFormat="1" ht="15.95" customHeight="1">
      <c r="A2" s="438" t="s">
        <v>579</v>
      </c>
      <c r="G2" s="469" t="s">
        <v>613</v>
      </c>
      <c r="H2" s="98"/>
      <c r="I2" s="324"/>
      <c r="J2" s="329" t="s">
        <v>543</v>
      </c>
      <c r="K2" s="330">
        <v>46094</v>
      </c>
      <c r="L2" s="324"/>
      <c r="M2" s="324"/>
    </row>
    <row r="3" spans="1:13" customFormat="1" ht="28.5" customHeight="1">
      <c r="A3" s="584" t="str">
        <f>IF(G2="【申請時】","交 流 計 画 書","業務計画書")</f>
        <v>交 流 計 画 書</v>
      </c>
      <c r="B3" s="584"/>
      <c r="C3" s="584"/>
      <c r="D3" s="584"/>
      <c r="E3" s="584"/>
      <c r="F3" s="584"/>
      <c r="G3" s="584"/>
      <c r="H3" s="98"/>
      <c r="I3" s="324"/>
      <c r="J3" s="357" t="s">
        <v>580</v>
      </c>
      <c r="K3" s="433">
        <v>7</v>
      </c>
      <c r="L3" s="325"/>
      <c r="M3" s="324"/>
    </row>
    <row r="4" spans="1:13" customFormat="1" ht="18" customHeight="1">
      <c r="A4" s="573" t="s">
        <v>0</v>
      </c>
      <c r="B4" s="574"/>
      <c r="C4" s="574"/>
      <c r="D4" s="574"/>
      <c r="E4" s="574"/>
      <c r="F4" s="574"/>
      <c r="G4" s="575"/>
      <c r="H4" s="98"/>
      <c r="I4" s="324"/>
      <c r="J4" s="436" t="s">
        <v>581</v>
      </c>
      <c r="K4" s="434">
        <v>21</v>
      </c>
      <c r="L4" s="326"/>
      <c r="M4" s="324"/>
    </row>
    <row r="5" spans="1:13" customFormat="1" ht="33" customHeight="1" thickBot="1">
      <c r="A5" s="599" t="s">
        <v>1</v>
      </c>
      <c r="B5" s="600"/>
      <c r="C5" s="578" t="s">
        <v>171</v>
      </c>
      <c r="D5" s="579"/>
      <c r="E5" s="579"/>
      <c r="F5" s="579"/>
      <c r="G5" s="580"/>
      <c r="H5" s="342"/>
      <c r="I5" s="324"/>
      <c r="J5" s="437" t="s">
        <v>582</v>
      </c>
      <c r="K5" s="435">
        <v>10</v>
      </c>
      <c r="L5" s="324"/>
      <c r="M5" s="324"/>
    </row>
    <row r="6" spans="1:13" customFormat="1" ht="33" customHeight="1" thickBot="1">
      <c r="A6" s="597" t="s">
        <v>116</v>
      </c>
      <c r="B6" s="598"/>
      <c r="C6" s="606"/>
      <c r="D6" s="607"/>
      <c r="E6" s="607"/>
      <c r="F6" s="607"/>
      <c r="G6" s="608"/>
      <c r="H6" s="343"/>
      <c r="I6" s="324"/>
      <c r="J6" s="495" t="str">
        <f>IF(K6="","",IF(K6&gt;=K2,K2,K6))</f>
        <v/>
      </c>
      <c r="K6" s="496" t="str">
        <f>IF(OR($F$8="",$F$8="(出国日)"),"",IF($C$7=$J$3,$C$8+$K$3,IF($C$7=$J$4,$C$8+$K$4-1,IF($C$7=J5,$C$8+K5-1,""))))</f>
        <v/>
      </c>
      <c r="L6" s="324"/>
      <c r="M6" s="324"/>
    </row>
    <row r="7" spans="1:13" customFormat="1" ht="33" customHeight="1">
      <c r="A7" s="597" t="s">
        <v>115</v>
      </c>
      <c r="B7" s="598"/>
      <c r="C7" s="603" t="s">
        <v>119</v>
      </c>
      <c r="D7" s="604"/>
      <c r="E7" s="604"/>
      <c r="F7" s="604"/>
      <c r="G7" s="605"/>
      <c r="H7" s="342"/>
      <c r="I7" s="324"/>
      <c r="J7" s="522"/>
      <c r="K7" s="522"/>
      <c r="L7" s="324"/>
      <c r="M7" s="324"/>
    </row>
    <row r="8" spans="1:13" customFormat="1" ht="33" customHeight="1">
      <c r="A8" s="601" t="s">
        <v>280</v>
      </c>
      <c r="B8" s="602"/>
      <c r="C8" s="595" t="s">
        <v>174</v>
      </c>
      <c r="D8" s="596"/>
      <c r="E8" s="183" t="s">
        <v>122</v>
      </c>
      <c r="F8" s="260" t="s">
        <v>175</v>
      </c>
      <c r="G8" s="176" t="str">
        <f>IF(AND(AND(C8&lt;&gt;"",C8&lt;&gt;"(入国日)"),AND(F8&lt;&gt;"",F8&lt;&gt;"(出国日)")),IF(ISERROR(DATEDIF(C8,F8,"D")+1),"※日程が正しくありません",(IF(C8="","",DATEDIF(C8,F8,"D")+1))),"")</f>
        <v/>
      </c>
      <c r="H8" s="344"/>
      <c r="I8" s="324"/>
      <c r="J8" s="357" t="s">
        <v>259</v>
      </c>
      <c r="K8" s="331"/>
      <c r="L8" s="324"/>
      <c r="M8" s="324"/>
    </row>
    <row r="9" spans="1:13" customFormat="1" ht="33" customHeight="1">
      <c r="A9" s="609" t="s">
        <v>525</v>
      </c>
      <c r="B9" s="610"/>
      <c r="C9" s="611"/>
      <c r="D9" s="612"/>
      <c r="E9" s="201" t="str">
        <f>IF(G9="オンライン交流実施","～","")</f>
        <v/>
      </c>
      <c r="F9" s="202"/>
      <c r="G9" s="213" t="s">
        <v>119</v>
      </c>
      <c r="H9" s="345"/>
      <c r="I9" s="355"/>
      <c r="J9" s="520" t="s">
        <v>552</v>
      </c>
      <c r="K9" s="521"/>
      <c r="L9" s="324"/>
      <c r="M9" s="324"/>
    </row>
    <row r="10" spans="1:13" customFormat="1" ht="18" customHeight="1">
      <c r="A10" s="85" t="s">
        <v>125</v>
      </c>
      <c r="B10" s="86"/>
      <c r="C10" s="86"/>
      <c r="D10" s="86"/>
      <c r="E10" s="86"/>
      <c r="F10" s="86"/>
      <c r="G10" s="87"/>
      <c r="H10" s="346"/>
      <c r="I10" s="324"/>
      <c r="J10" s="327"/>
      <c r="K10" s="327"/>
      <c r="L10" s="324"/>
      <c r="M10" s="324"/>
    </row>
    <row r="11" spans="1:13" customFormat="1" ht="30" customHeight="1">
      <c r="A11" s="587" t="s">
        <v>215</v>
      </c>
      <c r="B11" s="588"/>
      <c r="C11" s="589" t="s">
        <v>208</v>
      </c>
      <c r="D11" s="590"/>
      <c r="E11" s="590"/>
      <c r="F11" s="590"/>
      <c r="G11" s="591"/>
      <c r="H11" s="347"/>
      <c r="I11" s="324"/>
      <c r="J11" s="324"/>
      <c r="K11" s="324"/>
      <c r="L11" s="324"/>
      <c r="M11" s="324"/>
    </row>
    <row r="12" spans="1:13" customFormat="1" ht="30" customHeight="1">
      <c r="A12" s="576" t="s">
        <v>216</v>
      </c>
      <c r="B12" s="577"/>
      <c r="C12" s="592" t="s">
        <v>213</v>
      </c>
      <c r="D12" s="593"/>
      <c r="E12" s="593"/>
      <c r="F12" s="593"/>
      <c r="G12" s="594"/>
      <c r="H12" s="348"/>
      <c r="I12" s="324"/>
      <c r="J12" s="567" t="s">
        <v>553</v>
      </c>
      <c r="K12" s="567"/>
      <c r="L12" s="567"/>
      <c r="M12" s="324"/>
    </row>
    <row r="13" spans="1:13" customFormat="1" ht="16.5" customHeight="1">
      <c r="A13" s="546" t="s">
        <v>180</v>
      </c>
      <c r="B13" s="141" t="s">
        <v>139</v>
      </c>
      <c r="C13" s="529" t="s">
        <v>265</v>
      </c>
      <c r="D13" s="530"/>
      <c r="E13" s="530"/>
      <c r="F13" s="530"/>
      <c r="G13" s="531"/>
      <c r="H13" s="349"/>
      <c r="I13" s="324"/>
      <c r="J13" s="332"/>
      <c r="K13" s="333" t="s">
        <v>228</v>
      </c>
      <c r="L13" s="334" t="s">
        <v>229</v>
      </c>
      <c r="M13" s="324"/>
    </row>
    <row r="14" spans="1:13" customFormat="1" ht="16.5" customHeight="1">
      <c r="A14" s="585"/>
      <c r="B14" s="142" t="s">
        <v>3</v>
      </c>
      <c r="C14" s="526" t="s">
        <v>120</v>
      </c>
      <c r="D14" s="527"/>
      <c r="E14" s="527"/>
      <c r="F14" s="527"/>
      <c r="G14" s="528"/>
      <c r="H14" s="349"/>
      <c r="I14" s="324"/>
      <c r="J14" s="335" t="s">
        <v>184</v>
      </c>
      <c r="K14" s="336" t="s">
        <v>185</v>
      </c>
      <c r="L14" s="337" t="s">
        <v>186</v>
      </c>
      <c r="M14" s="324"/>
    </row>
    <row r="15" spans="1:13" customFormat="1" ht="16.5" customHeight="1">
      <c r="A15" s="585"/>
      <c r="B15" s="142" t="s">
        <v>4</v>
      </c>
      <c r="C15" s="526" t="s">
        <v>121</v>
      </c>
      <c r="D15" s="527"/>
      <c r="E15" s="527"/>
      <c r="F15" s="527"/>
      <c r="G15" s="528"/>
      <c r="H15" s="349"/>
      <c r="I15" s="324"/>
      <c r="J15" s="335" t="s">
        <v>187</v>
      </c>
      <c r="K15" s="336" t="s">
        <v>185</v>
      </c>
      <c r="L15" s="337" t="s">
        <v>188</v>
      </c>
      <c r="M15" s="324"/>
    </row>
    <row r="16" spans="1:13" customFormat="1" ht="16.5" customHeight="1">
      <c r="A16" s="585"/>
      <c r="B16" s="142" t="s">
        <v>5</v>
      </c>
      <c r="C16" s="532" t="s">
        <v>109</v>
      </c>
      <c r="D16" s="533"/>
      <c r="E16" s="533"/>
      <c r="F16" s="533"/>
      <c r="G16" s="534"/>
      <c r="H16" s="350"/>
      <c r="I16" s="324"/>
      <c r="J16" s="335" t="s">
        <v>189</v>
      </c>
      <c r="K16" s="336" t="s">
        <v>185</v>
      </c>
      <c r="L16" s="337" t="s">
        <v>190</v>
      </c>
      <c r="M16" s="324"/>
    </row>
    <row r="17" spans="1:13" customFormat="1" ht="16.5" customHeight="1">
      <c r="A17" s="585"/>
      <c r="B17" s="142" t="s">
        <v>6</v>
      </c>
      <c r="C17" s="37" t="s">
        <v>158</v>
      </c>
      <c r="D17" s="559" t="s">
        <v>111</v>
      </c>
      <c r="E17" s="559"/>
      <c r="F17" s="559"/>
      <c r="G17" s="560"/>
      <c r="H17" s="347"/>
      <c r="I17" s="324"/>
      <c r="J17" s="335" t="s">
        <v>191</v>
      </c>
      <c r="K17" s="336" t="s">
        <v>192</v>
      </c>
      <c r="L17" s="337" t="s">
        <v>193</v>
      </c>
      <c r="M17" s="324"/>
    </row>
    <row r="18" spans="1:13" customFormat="1" ht="16.5" customHeight="1">
      <c r="A18" s="585"/>
      <c r="B18" s="142" t="s">
        <v>7</v>
      </c>
      <c r="C18" s="532" t="s">
        <v>109</v>
      </c>
      <c r="D18" s="533"/>
      <c r="E18" s="533"/>
      <c r="F18" s="533"/>
      <c r="G18" s="534"/>
      <c r="H18" s="350"/>
      <c r="I18" s="324"/>
      <c r="J18" s="335" t="s">
        <v>194</v>
      </c>
      <c r="K18" s="336" t="s">
        <v>195</v>
      </c>
      <c r="L18" s="337" t="s">
        <v>190</v>
      </c>
      <c r="M18" s="324"/>
    </row>
    <row r="19" spans="1:13" customFormat="1" ht="16.5" customHeight="1">
      <c r="A19" s="586"/>
      <c r="B19" s="143" t="s">
        <v>96</v>
      </c>
      <c r="C19" s="523" t="s">
        <v>110</v>
      </c>
      <c r="D19" s="524"/>
      <c r="E19" s="524"/>
      <c r="F19" s="524"/>
      <c r="G19" s="525"/>
      <c r="H19" s="350"/>
      <c r="I19" s="324"/>
      <c r="J19" s="335" t="s">
        <v>196</v>
      </c>
      <c r="K19" s="336" t="s">
        <v>197</v>
      </c>
      <c r="L19" s="337" t="s">
        <v>198</v>
      </c>
      <c r="M19" s="324"/>
    </row>
    <row r="20" spans="1:13" customFormat="1" ht="16.5" customHeight="1">
      <c r="A20" s="549" t="s">
        <v>128</v>
      </c>
      <c r="B20" s="144" t="s">
        <v>139</v>
      </c>
      <c r="C20" s="552" t="s">
        <v>273</v>
      </c>
      <c r="D20" s="553"/>
      <c r="E20" s="553"/>
      <c r="F20" s="553"/>
      <c r="G20" s="554"/>
      <c r="H20" s="349"/>
      <c r="I20" s="324"/>
      <c r="J20" s="335" t="s">
        <v>512</v>
      </c>
      <c r="K20" s="336" t="s">
        <v>197</v>
      </c>
      <c r="L20" s="337" t="s">
        <v>190</v>
      </c>
      <c r="M20" s="324"/>
    </row>
    <row r="21" spans="1:13" customFormat="1" ht="16.5" customHeight="1">
      <c r="A21" s="550"/>
      <c r="B21" s="142" t="s">
        <v>3</v>
      </c>
      <c r="C21" s="526" t="s">
        <v>103</v>
      </c>
      <c r="D21" s="527"/>
      <c r="E21" s="527"/>
      <c r="F21" s="527"/>
      <c r="G21" s="528"/>
      <c r="H21" s="349"/>
      <c r="I21" s="324"/>
      <c r="J21" s="335" t="s">
        <v>199</v>
      </c>
      <c r="K21" s="336" t="s">
        <v>200</v>
      </c>
      <c r="L21" s="337" t="s">
        <v>200</v>
      </c>
      <c r="M21" s="324"/>
    </row>
    <row r="22" spans="1:13" customFormat="1" ht="16.5" customHeight="1">
      <c r="A22" s="550"/>
      <c r="B22" s="142" t="s">
        <v>4</v>
      </c>
      <c r="C22" s="526" t="s">
        <v>104</v>
      </c>
      <c r="D22" s="527"/>
      <c r="E22" s="527"/>
      <c r="F22" s="527"/>
      <c r="G22" s="528"/>
      <c r="H22" s="349"/>
      <c r="I22" s="324"/>
      <c r="J22" s="335" t="s">
        <v>201</v>
      </c>
      <c r="K22" s="336" t="s">
        <v>202</v>
      </c>
      <c r="L22" s="337" t="s">
        <v>202</v>
      </c>
      <c r="M22" s="324"/>
    </row>
    <row r="23" spans="1:13" customFormat="1" ht="16.5" customHeight="1">
      <c r="A23" s="550"/>
      <c r="B23" s="142" t="s">
        <v>5</v>
      </c>
      <c r="C23" s="532" t="s">
        <v>109</v>
      </c>
      <c r="D23" s="533"/>
      <c r="E23" s="533"/>
      <c r="F23" s="533"/>
      <c r="G23" s="534"/>
      <c r="H23" s="350"/>
      <c r="I23" s="324"/>
      <c r="J23" s="338" t="s">
        <v>203</v>
      </c>
      <c r="K23" s="336" t="s">
        <v>204</v>
      </c>
      <c r="L23" s="337" t="s">
        <v>204</v>
      </c>
      <c r="M23" s="324"/>
    </row>
    <row r="24" spans="1:13" customFormat="1" ht="16.5" customHeight="1">
      <c r="A24" s="550"/>
      <c r="B24" s="142" t="s">
        <v>6</v>
      </c>
      <c r="C24" s="37" t="s">
        <v>158</v>
      </c>
      <c r="D24" s="555" t="s">
        <v>111</v>
      </c>
      <c r="E24" s="556"/>
      <c r="F24" s="556"/>
      <c r="G24" s="557"/>
      <c r="H24" s="351"/>
      <c r="I24" s="324"/>
      <c r="J24" s="339"/>
      <c r="K24" s="336" t="s">
        <v>205</v>
      </c>
      <c r="L24" s="337" t="s">
        <v>205</v>
      </c>
      <c r="M24" s="324"/>
    </row>
    <row r="25" spans="1:13" customFormat="1" ht="16.5" customHeight="1">
      <c r="A25" s="550"/>
      <c r="B25" s="142" t="s">
        <v>7</v>
      </c>
      <c r="C25" s="532" t="s">
        <v>109</v>
      </c>
      <c r="D25" s="533"/>
      <c r="E25" s="533"/>
      <c r="F25" s="533"/>
      <c r="G25" s="534"/>
      <c r="H25" s="350"/>
      <c r="I25" s="324"/>
      <c r="J25" s="340"/>
      <c r="K25" s="336" t="s">
        <v>206</v>
      </c>
      <c r="L25" s="337" t="s">
        <v>206</v>
      </c>
      <c r="M25" s="324"/>
    </row>
    <row r="26" spans="1:13" customFormat="1" ht="16.5" customHeight="1">
      <c r="A26" s="551"/>
      <c r="B26" s="145" t="s">
        <v>96</v>
      </c>
      <c r="C26" s="523" t="s">
        <v>110</v>
      </c>
      <c r="D26" s="524"/>
      <c r="E26" s="524"/>
      <c r="F26" s="524"/>
      <c r="G26" s="525"/>
      <c r="H26" s="350"/>
      <c r="I26" s="324"/>
      <c r="J26" s="566" t="s">
        <v>246</v>
      </c>
      <c r="K26" s="566"/>
      <c r="L26" s="566"/>
      <c r="M26" s="324"/>
    </row>
    <row r="27" spans="1:13" customFormat="1" ht="16.5" customHeight="1">
      <c r="A27" s="549" t="s">
        <v>90</v>
      </c>
      <c r="B27" s="141" t="s">
        <v>139</v>
      </c>
      <c r="C27" s="529" t="s">
        <v>274</v>
      </c>
      <c r="D27" s="530"/>
      <c r="E27" s="530"/>
      <c r="F27" s="530"/>
      <c r="G27" s="531"/>
      <c r="H27" s="349"/>
      <c r="I27" s="324"/>
      <c r="J27" s="572" t="s">
        <v>230</v>
      </c>
      <c r="K27" s="572"/>
      <c r="L27" s="572"/>
      <c r="M27" s="324"/>
    </row>
    <row r="28" spans="1:13" customFormat="1" ht="16.5" customHeight="1">
      <c r="A28" s="550"/>
      <c r="B28" s="142" t="s">
        <v>3</v>
      </c>
      <c r="C28" s="526" t="s">
        <v>105</v>
      </c>
      <c r="D28" s="527"/>
      <c r="E28" s="527"/>
      <c r="F28" s="527"/>
      <c r="G28" s="528"/>
      <c r="H28" s="349"/>
      <c r="I28" s="324"/>
      <c r="J28" s="324"/>
      <c r="K28" s="324"/>
      <c r="L28" s="324"/>
      <c r="M28" s="324"/>
    </row>
    <row r="29" spans="1:13" customFormat="1" ht="16.5" customHeight="1">
      <c r="A29" s="550"/>
      <c r="B29" s="142" t="s">
        <v>4</v>
      </c>
      <c r="C29" s="526" t="s">
        <v>106</v>
      </c>
      <c r="D29" s="527"/>
      <c r="E29" s="527"/>
      <c r="F29" s="527"/>
      <c r="G29" s="528"/>
      <c r="H29" s="349"/>
      <c r="I29" s="324"/>
      <c r="J29" s="324"/>
      <c r="K29" s="324"/>
      <c r="L29" s="324"/>
      <c r="M29" s="324"/>
    </row>
    <row r="30" spans="1:13" customFormat="1" ht="16.5" customHeight="1">
      <c r="A30" s="550"/>
      <c r="B30" s="142" t="s">
        <v>5</v>
      </c>
      <c r="C30" s="532" t="s">
        <v>109</v>
      </c>
      <c r="D30" s="533"/>
      <c r="E30" s="533"/>
      <c r="F30" s="533"/>
      <c r="G30" s="534"/>
      <c r="H30" s="350"/>
      <c r="I30" s="324"/>
      <c r="J30" s="324"/>
      <c r="K30" s="324"/>
      <c r="L30" s="324"/>
      <c r="M30" s="324"/>
    </row>
    <row r="31" spans="1:13" customFormat="1" ht="16.5" customHeight="1">
      <c r="A31" s="550"/>
      <c r="B31" s="142" t="s">
        <v>6</v>
      </c>
      <c r="C31" s="37" t="s">
        <v>158</v>
      </c>
      <c r="D31" s="558" t="s">
        <v>111</v>
      </c>
      <c r="E31" s="559"/>
      <c r="F31" s="559"/>
      <c r="G31" s="560"/>
      <c r="H31" s="347"/>
      <c r="I31" s="324"/>
      <c r="J31" s="324"/>
      <c r="K31" s="324"/>
      <c r="L31" s="324"/>
      <c r="M31" s="324"/>
    </row>
    <row r="32" spans="1:13" customFormat="1" ht="16.5" customHeight="1">
      <c r="A32" s="550"/>
      <c r="B32" s="142" t="s">
        <v>7</v>
      </c>
      <c r="C32" s="532" t="s">
        <v>109</v>
      </c>
      <c r="D32" s="533"/>
      <c r="E32" s="533"/>
      <c r="F32" s="533"/>
      <c r="G32" s="534"/>
      <c r="H32" s="350"/>
      <c r="I32" s="324"/>
      <c r="J32" s="324"/>
      <c r="K32" s="324"/>
      <c r="L32" s="324"/>
      <c r="M32" s="324"/>
    </row>
    <row r="33" spans="1:13" customFormat="1" ht="16.5" customHeight="1" thickBot="1">
      <c r="A33" s="550"/>
      <c r="B33" s="143" t="s">
        <v>96</v>
      </c>
      <c r="C33" s="523" t="s">
        <v>110</v>
      </c>
      <c r="D33" s="524"/>
      <c r="E33" s="524"/>
      <c r="F33" s="524"/>
      <c r="G33" s="525"/>
      <c r="H33" s="350"/>
      <c r="I33" s="324"/>
      <c r="J33" s="324"/>
      <c r="K33" s="324"/>
      <c r="L33" s="324"/>
      <c r="M33" s="324"/>
    </row>
    <row r="34" spans="1:13" customFormat="1" ht="16.5" customHeight="1" thickTop="1">
      <c r="A34" s="541" t="s">
        <v>117</v>
      </c>
      <c r="B34" s="146" t="s">
        <v>124</v>
      </c>
      <c r="C34" s="543" t="s">
        <v>112</v>
      </c>
      <c r="D34" s="544"/>
      <c r="E34" s="544"/>
      <c r="F34" s="544"/>
      <c r="G34" s="545"/>
      <c r="H34" s="347"/>
      <c r="I34" s="324"/>
      <c r="J34" s="570" t="s">
        <v>277</v>
      </c>
      <c r="K34" s="571"/>
      <c r="L34" s="324"/>
      <c r="M34" s="324"/>
    </row>
    <row r="35" spans="1:13" customFormat="1" ht="16.5" customHeight="1">
      <c r="A35" s="542"/>
      <c r="B35" s="145" t="s">
        <v>123</v>
      </c>
      <c r="C35" s="535" t="s">
        <v>138</v>
      </c>
      <c r="D35" s="536"/>
      <c r="E35" s="536"/>
      <c r="F35" s="537" t="str">
        <f>IF($C$35="(半角数字 13桁)","",IF(9-MOD(SUMPRODUCT(MID(TEXT($C$35,"0000000000000"),{2,3,4,5,6,7,8,9,10,11,12,13},1)*{2,1,2,1,2,1,2,1,2,1,2,1}),9)=VALUE(MID(TEXT($C$35,"0000000000000"),1,1)),"","法人番号が間違っています！"))</f>
        <v/>
      </c>
      <c r="G35" s="538"/>
      <c r="H35" s="352"/>
      <c r="I35" s="324"/>
      <c r="J35" s="568" t="s">
        <v>207</v>
      </c>
      <c r="K35" s="569"/>
      <c r="L35" s="324"/>
      <c r="M35" s="324"/>
    </row>
    <row r="36" spans="1:13" customFormat="1" ht="16.5" customHeight="1">
      <c r="A36" s="546" t="s">
        <v>181</v>
      </c>
      <c r="B36" s="141" t="s">
        <v>164</v>
      </c>
      <c r="C36" s="529" t="s">
        <v>275</v>
      </c>
      <c r="D36" s="530"/>
      <c r="E36" s="530"/>
      <c r="F36" s="530"/>
      <c r="G36" s="531"/>
      <c r="H36" s="349"/>
      <c r="I36" s="324"/>
      <c r="J36" s="324"/>
      <c r="K36" s="324"/>
      <c r="L36" s="324"/>
      <c r="M36" s="324"/>
    </row>
    <row r="37" spans="1:13" customFormat="1" ht="16.5" customHeight="1">
      <c r="A37" s="547"/>
      <c r="B37" s="142" t="s">
        <v>4</v>
      </c>
      <c r="C37" s="526" t="s">
        <v>107</v>
      </c>
      <c r="D37" s="527"/>
      <c r="E37" s="527"/>
      <c r="F37" s="527"/>
      <c r="G37" s="528"/>
      <c r="H37" s="349"/>
      <c r="I37" s="324"/>
      <c r="J37" s="324"/>
      <c r="K37" s="324"/>
      <c r="L37" s="324"/>
      <c r="M37" s="324"/>
    </row>
    <row r="38" spans="1:13" customFormat="1" ht="16.5" customHeight="1">
      <c r="A38" s="548"/>
      <c r="B38" s="145" t="s">
        <v>6</v>
      </c>
      <c r="C38" s="38" t="s">
        <v>158</v>
      </c>
      <c r="D38" s="539" t="s">
        <v>111</v>
      </c>
      <c r="E38" s="539"/>
      <c r="F38" s="539"/>
      <c r="G38" s="540"/>
      <c r="H38" s="347"/>
      <c r="I38" s="324"/>
      <c r="J38" s="356" t="s">
        <v>247</v>
      </c>
      <c r="K38" s="324"/>
      <c r="L38" s="324"/>
      <c r="M38" s="324"/>
    </row>
    <row r="39" spans="1:13" customFormat="1" ht="9" customHeight="1">
      <c r="A39" s="17"/>
      <c r="C39" s="23"/>
      <c r="D39" s="23"/>
      <c r="E39" s="23"/>
      <c r="F39" s="23"/>
      <c r="G39" s="23"/>
      <c r="H39" s="23"/>
      <c r="I39" s="324"/>
      <c r="J39" s="324"/>
      <c r="K39" s="324"/>
      <c r="L39" s="324"/>
      <c r="M39" s="324"/>
    </row>
    <row r="40" spans="1:13" customFormat="1" ht="75" customHeight="1">
      <c r="A40" s="31" t="s">
        <v>108</v>
      </c>
      <c r="B40" s="30" t="s">
        <v>113</v>
      </c>
      <c r="C40" s="581" t="str">
        <f ca="1">IF(隠しシート!F152="","送出し機関概要・招へい者人数未設定",隠しシート!F152)</f>
        <v>送出し機関概要・招へい者人数未設定</v>
      </c>
      <c r="D40" s="582"/>
      <c r="E40" s="582"/>
      <c r="F40" s="582"/>
      <c r="G40" s="583"/>
      <c r="H40" s="353"/>
      <c r="I40" s="324"/>
      <c r="J40" s="562" t="s">
        <v>554</v>
      </c>
      <c r="K40" s="562"/>
      <c r="L40" s="324"/>
      <c r="M40" s="324"/>
    </row>
    <row r="41" spans="1:13" customFormat="1" ht="24" customHeight="1">
      <c r="A41" s="24"/>
      <c r="B41" s="25" t="s">
        <v>114</v>
      </c>
      <c r="C41" s="563" t="str">
        <f ca="1">IF(隠しシート!E152&lt;&gt;0,隠しシート!E152,C40)</f>
        <v>送出し機関概要・招へい者人数未設定</v>
      </c>
      <c r="D41" s="564"/>
      <c r="E41" s="564"/>
      <c r="F41" s="564"/>
      <c r="G41" s="565"/>
      <c r="H41" s="354"/>
      <c r="I41" s="324"/>
      <c r="J41" s="562"/>
      <c r="K41" s="562"/>
      <c r="L41" s="324"/>
      <c r="M41" s="324"/>
    </row>
    <row r="42" spans="1:13" customFormat="1">
      <c r="I42" s="324"/>
      <c r="J42" s="324"/>
      <c r="K42" s="324"/>
      <c r="L42" s="324"/>
      <c r="M42" s="324"/>
    </row>
  </sheetData>
  <sheetProtection algorithmName="SHA-512" hashValue="Z4Vztt7czEBxIQ9DdBtjFRkj2nz4Kq6OTC6hbnKuHIx2wCy0xeBvn4bOKuyTmAUcoM6J87ko3Fx/Tt5P8LyviQ==" saltValue="JTr3YGqeb5CVRpAA0r1Lnw==" spinCount="100000" sheet="1" formatCells="0" formatColumns="0" formatRows="0"/>
  <mergeCells count="59">
    <mergeCell ref="C40:G40"/>
    <mergeCell ref="A3:G3"/>
    <mergeCell ref="A13:A19"/>
    <mergeCell ref="A11:B11"/>
    <mergeCell ref="C15:G15"/>
    <mergeCell ref="C11:G11"/>
    <mergeCell ref="C12:G12"/>
    <mergeCell ref="C8:D8"/>
    <mergeCell ref="A6:B6"/>
    <mergeCell ref="A5:B5"/>
    <mergeCell ref="A7:B7"/>
    <mergeCell ref="A8:B8"/>
    <mergeCell ref="C7:G7"/>
    <mergeCell ref="C6:G6"/>
    <mergeCell ref="A9:B9"/>
    <mergeCell ref="C9:D9"/>
    <mergeCell ref="J1:L1"/>
    <mergeCell ref="J40:K41"/>
    <mergeCell ref="C41:G41"/>
    <mergeCell ref="J26:L26"/>
    <mergeCell ref="J12:L12"/>
    <mergeCell ref="J35:K35"/>
    <mergeCell ref="J34:K34"/>
    <mergeCell ref="J27:L27"/>
    <mergeCell ref="C16:G16"/>
    <mergeCell ref="C18:G18"/>
    <mergeCell ref="D17:G17"/>
    <mergeCell ref="C13:G13"/>
    <mergeCell ref="C26:G26"/>
    <mergeCell ref="A4:G4"/>
    <mergeCell ref="A12:B12"/>
    <mergeCell ref="C5:G5"/>
    <mergeCell ref="D38:G38"/>
    <mergeCell ref="A34:A35"/>
    <mergeCell ref="C34:G34"/>
    <mergeCell ref="A36:A38"/>
    <mergeCell ref="A20:A26"/>
    <mergeCell ref="A27:A33"/>
    <mergeCell ref="C23:G23"/>
    <mergeCell ref="C20:G20"/>
    <mergeCell ref="C21:G21"/>
    <mergeCell ref="C22:G22"/>
    <mergeCell ref="C33:G33"/>
    <mergeCell ref="C36:G36"/>
    <mergeCell ref="D24:G24"/>
    <mergeCell ref="D31:G31"/>
    <mergeCell ref="C25:G25"/>
    <mergeCell ref="J9:K9"/>
    <mergeCell ref="J7:K7"/>
    <mergeCell ref="C19:G19"/>
    <mergeCell ref="C14:G14"/>
    <mergeCell ref="C37:G37"/>
    <mergeCell ref="C27:G27"/>
    <mergeCell ref="C28:G28"/>
    <mergeCell ref="C29:G29"/>
    <mergeCell ref="C30:G30"/>
    <mergeCell ref="C32:G32"/>
    <mergeCell ref="C35:E35"/>
    <mergeCell ref="F35:G35"/>
  </mergeCells>
  <phoneticPr fontId="14"/>
  <conditionalFormatting sqref="C17">
    <cfRule type="expression" dxfId="736" priority="83">
      <formula>OR($C17="※選択",$C17="")</formula>
    </cfRule>
  </conditionalFormatting>
  <conditionalFormatting sqref="C24">
    <cfRule type="expression" dxfId="735" priority="26">
      <formula>OR($C24="※選択",$C24="")</formula>
    </cfRule>
  </conditionalFormatting>
  <conditionalFormatting sqref="C31">
    <cfRule type="expression" dxfId="734" priority="25">
      <formula>OR($C31="※選択",$C31="")</formula>
    </cfRule>
  </conditionalFormatting>
  <conditionalFormatting sqref="C35">
    <cfRule type="expression" dxfId="733" priority="22">
      <formula>OR($C35="(半角数字 13桁)",$C35="")</formula>
    </cfRule>
  </conditionalFormatting>
  <conditionalFormatting sqref="C38">
    <cfRule type="expression" dxfId="732" priority="24">
      <formula>OR($C38="※選択",$C38="")</formula>
    </cfRule>
  </conditionalFormatting>
  <conditionalFormatting sqref="C8:D8">
    <cfRule type="expression" dxfId="731" priority="8">
      <formula>OR($C8="(入国日)",$C8="")</formula>
    </cfRule>
  </conditionalFormatting>
  <conditionalFormatting sqref="C9:D9">
    <cfRule type="expression" dxfId="730" priority="10">
      <formula>AND($G$9="オンライン交流実施",$C$9="")</formula>
    </cfRule>
  </conditionalFormatting>
  <conditionalFormatting sqref="C6:G6">
    <cfRule type="expression" dxfId="729" priority="174">
      <formula>C6=""</formula>
    </cfRule>
  </conditionalFormatting>
  <conditionalFormatting sqref="C7:G7">
    <cfRule type="expression" dxfId="728" priority="125">
      <formula>OR($C7="※選択してください",$C7="")</formula>
    </cfRule>
  </conditionalFormatting>
  <conditionalFormatting sqref="C8:G8">
    <cfRule type="expression" dxfId="727" priority="3">
      <formula>AND($G$8&lt;&gt;"",$C$7=$J$3,$G$8&gt;$K$3+1)</formula>
    </cfRule>
    <cfRule type="expression" dxfId="726" priority="4">
      <formula>AND($G$8&lt;&gt;"",$C$7=$J$4,$G$8&gt;$K$4)</formula>
    </cfRule>
    <cfRule type="expression" dxfId="725" priority="5">
      <formula>AND($G$8&lt;&gt;"",$C$7=$J$5,$G$8&gt;$K$5)</formula>
    </cfRule>
  </conditionalFormatting>
  <conditionalFormatting sqref="C11:G11">
    <cfRule type="expression" dxfId="724" priority="122">
      <formula>OR($C11="(交流計画を実施する機関)",$C11="")</formula>
    </cfRule>
  </conditionalFormatting>
  <conditionalFormatting sqref="C12:G12">
    <cfRule type="expression" dxfId="723" priority="121">
      <formula>OR($C12="(招へい者に授与する修了証に記載される名称　※上記受入れ機関名と異なっても構いません。)",$C12="")</formula>
    </cfRule>
  </conditionalFormatting>
  <conditionalFormatting sqref="C13:G13">
    <cfRule type="expression" dxfId="722" priority="82">
      <formula>OR($C13="",$C13="(実施主担当者　受入れ機関名より下位の部署名)")</formula>
    </cfRule>
  </conditionalFormatting>
  <conditionalFormatting sqref="C14:G14">
    <cfRule type="expression" dxfId="721" priority="81">
      <formula>OR($C14="",$C14="(実施主担当者　役職名)")</formula>
    </cfRule>
  </conditionalFormatting>
  <conditionalFormatting sqref="C15:G15">
    <cfRule type="expression" dxfId="720" priority="80">
      <formula>OR($C15="(実施主担当者　氏名)",$C15="")</formula>
    </cfRule>
  </conditionalFormatting>
  <conditionalFormatting sqref="C16:G16">
    <cfRule type="expression" dxfId="719" priority="21">
      <formula>OR($C16="(半角数字)",$C16="")</formula>
    </cfRule>
  </conditionalFormatting>
  <conditionalFormatting sqref="C18:G18">
    <cfRule type="expression" dxfId="718" priority="20">
      <formula>OR($C18="(半角数字)",$C18="")</formula>
    </cfRule>
  </conditionalFormatting>
  <conditionalFormatting sqref="C19:G19">
    <cfRule type="expression" dxfId="717" priority="19">
      <formula>OR($C19="(半角英数字)",$C19="")</formula>
    </cfRule>
  </conditionalFormatting>
  <conditionalFormatting sqref="C20:G20">
    <cfRule type="expression" dxfId="716" priority="34">
      <formula>OR($C20="",$C20="(連絡担当者　受入れ機関名より下位の部署名)")</formula>
    </cfRule>
  </conditionalFormatting>
  <conditionalFormatting sqref="C21:G21">
    <cfRule type="expression" dxfId="715" priority="33">
      <formula>OR($C21="",$C21="(連絡担当者　役職名)")</formula>
    </cfRule>
  </conditionalFormatting>
  <conditionalFormatting sqref="C22:G22">
    <cfRule type="expression" dxfId="714" priority="46">
      <formula>OR($C22="(連絡担当者　氏名)",$C22="")</formula>
    </cfRule>
  </conditionalFormatting>
  <conditionalFormatting sqref="C23:G23">
    <cfRule type="expression" dxfId="713" priority="45">
      <formula>OR($C23="(半角数字)",$C23="")</formula>
    </cfRule>
  </conditionalFormatting>
  <conditionalFormatting sqref="C25:G25">
    <cfRule type="expression" dxfId="712" priority="44">
      <formula>OR($C25="(半角数字)",$C25="")</formula>
    </cfRule>
  </conditionalFormatting>
  <conditionalFormatting sqref="C26:G26">
    <cfRule type="expression" dxfId="711" priority="43">
      <formula>OR($C26="(半角英数字)",$C26="")</formula>
    </cfRule>
  </conditionalFormatting>
  <conditionalFormatting sqref="C27:G27">
    <cfRule type="expression" dxfId="710" priority="31">
      <formula>OR($C27="",$C27="(事務担当者　受入れ機関名より下位の部署名)")</formula>
    </cfRule>
  </conditionalFormatting>
  <conditionalFormatting sqref="C28:G28">
    <cfRule type="expression" dxfId="709" priority="30">
      <formula>OR($C28="",$C28="(事務担当者　役職名)")</formula>
    </cfRule>
  </conditionalFormatting>
  <conditionalFormatting sqref="C29:G29">
    <cfRule type="expression" dxfId="708" priority="38">
      <formula>OR($C29="(事務担当者　氏名)",$C29="")</formula>
    </cfRule>
  </conditionalFormatting>
  <conditionalFormatting sqref="C30:G30">
    <cfRule type="expression" dxfId="707" priority="37">
      <formula>OR($C30="(半角数字)",$C30="")</formula>
    </cfRule>
  </conditionalFormatting>
  <conditionalFormatting sqref="C32:G32">
    <cfRule type="expression" dxfId="706" priority="36">
      <formula>OR($C32="(半角数字)",$C32="")</formula>
    </cfRule>
  </conditionalFormatting>
  <conditionalFormatting sqref="C33:G33">
    <cfRule type="expression" dxfId="705" priority="35">
      <formula>OR($C33="(半角英数字)",$C33="")</formula>
    </cfRule>
  </conditionalFormatting>
  <conditionalFormatting sqref="C34:G34">
    <cfRule type="expression" dxfId="704" priority="69">
      <formula>OR($C34="(契約する法人格を有する機関名)",$C34="")</formula>
    </cfRule>
  </conditionalFormatting>
  <conditionalFormatting sqref="C35:G35">
    <cfRule type="expression" dxfId="703" priority="23">
      <formula>$F$35="法人番号が間違っています！"</formula>
    </cfRule>
  </conditionalFormatting>
  <conditionalFormatting sqref="C36:G36">
    <cfRule type="expression" dxfId="702" priority="93">
      <formula>OR($C36="(実施責任者　契約法人名より下位の部署名・役職名)",$C36="")</formula>
    </cfRule>
  </conditionalFormatting>
  <conditionalFormatting sqref="C37:G37">
    <cfRule type="expression" dxfId="701" priority="91">
      <formula>OR($C37="(実施責任者　氏名)",$C37="")</formula>
    </cfRule>
  </conditionalFormatting>
  <conditionalFormatting sqref="D17:G17">
    <cfRule type="expression" dxfId="700" priority="2207">
      <formula>OR($D17="(市区町村以下)",$D17="")</formula>
    </cfRule>
  </conditionalFormatting>
  <conditionalFormatting sqref="D24:G24">
    <cfRule type="expression" dxfId="699" priority="49">
      <formula>OR($D24="(市区町村以下)",$D24="")</formula>
    </cfRule>
  </conditionalFormatting>
  <conditionalFormatting sqref="D31:G31">
    <cfRule type="expression" dxfId="698" priority="41">
      <formula>OR($D31="(市区町村以下)",$D31="")</formula>
    </cfRule>
  </conditionalFormatting>
  <conditionalFormatting sqref="D38:G38">
    <cfRule type="expression" dxfId="697" priority="71">
      <formula>OR($D38="(市区町村以下)",$D38="")</formula>
    </cfRule>
  </conditionalFormatting>
  <conditionalFormatting sqref="F8">
    <cfRule type="expression" dxfId="696" priority="7">
      <formula>OR($F8="(出国日)",$F8="")</formula>
    </cfRule>
  </conditionalFormatting>
  <conditionalFormatting sqref="F9">
    <cfRule type="expression" dxfId="695" priority="9">
      <formula>AND($G$9="オンライン交流実施",$F$9="")</formula>
    </cfRule>
  </conditionalFormatting>
  <conditionalFormatting sqref="G9">
    <cfRule type="expression" dxfId="694" priority="12">
      <formula>$G$9="※選択してください"</formula>
    </cfRule>
  </conditionalFormatting>
  <dataValidations count="12">
    <dataValidation imeMode="off" allowBlank="1" showInputMessage="1" showErrorMessage="1" sqref="C12:H12 C18:H19 C32:H33 C25:H26" xr:uid="{D28EF47D-500A-4B73-B57B-A5512524F446}"/>
    <dataValidation type="textLength" imeMode="disabled" operator="equal" allowBlank="1" showInputMessage="1" showErrorMessage="1" sqref="C5:H5" xr:uid="{133D4D66-1F23-4223-B252-4E26DC756104}">
      <formula1>13</formula1>
    </dataValidation>
    <dataValidation type="list" allowBlank="1" showInputMessage="1" showErrorMessage="1" sqref="C17 C24 C31 C38" xr:uid="{222FCB68-98CC-4A65-9580-1EB2D1A35A17}">
      <formula1>"※選択,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date" imeMode="disabled" allowBlank="1" showInputMessage="1" showErrorMessage="1" sqref="C9:D9" xr:uid="{EDE9083C-6D96-47D0-87D5-DEDD80307563}">
      <formula1>45748</formula1>
      <formula2>K2</formula2>
    </dataValidation>
    <dataValidation imeMode="disabled" allowBlank="1" showInputMessage="1" showErrorMessage="1" sqref="C30:H30 C23:H23 C16:H16" xr:uid="{126341BC-271B-4040-9E6E-09AA36D9D4A7}"/>
    <dataValidation type="textLength" errorStyle="warning" imeMode="disabled" operator="equal" allowBlank="1" showInputMessage="1" showErrorMessage="1" errorTitle="桁数があっていません。" error="再度入力してください。" sqref="C35:E35" xr:uid="{B39D44EF-DC11-49A1-9886-EFE025B2A159}">
      <formula1>13</formula1>
    </dataValidation>
    <dataValidation type="list" allowBlank="1" showInputMessage="1" showErrorMessage="1" sqref="G9:H9" xr:uid="{4BB09B12-DA6E-4D32-93BE-569D48175992}">
      <formula1>"※選択してください,オンライン交流実施なし,オンライン交流実施"</formula1>
    </dataValidation>
    <dataValidation type="date" errorStyle="warning" imeMode="disabled" allowBlank="1" showInputMessage="1" showErrorMessage="1" errorTitle="招へい期間に誤りがあります。" error="コース毎の日数、実施可能日を確認して修正してください。" sqref="F8" xr:uid="{8AD04E27-8521-44CA-96C7-DB9121A9427B}">
      <formula1>C8</formula1>
      <formula2>K2</formula2>
    </dataValidation>
    <dataValidation type="list" allowBlank="1" showInputMessage="1" showErrorMessage="1" sqref="G2" xr:uid="{377D03B1-4619-406E-9A86-D38D8E160F30}">
      <formula1>"【申請時】,【様式2】"</formula1>
    </dataValidation>
    <dataValidation type="list" allowBlank="1" showInputMessage="1" showErrorMessage="1" sqref="C7:G7" xr:uid="{EC3F4C10-81BD-497A-91AD-5817908FC71A}">
      <formula1>"※選択してください,科学技術体験コース（Ａコース）,共同研究活動コース（Ｂコース）,科学技術研修コース（Ｃコース）"</formula1>
    </dataValidation>
    <dataValidation type="date" imeMode="disabled" allowBlank="1" showInputMessage="1" showErrorMessage="1" sqref="F9" xr:uid="{B1BD5686-03CB-40BA-8F6C-8B77304FE5B5}">
      <formula1>C9</formula1>
      <formula2>K2</formula2>
    </dataValidation>
    <dataValidation type="date" imeMode="disabled" allowBlank="1" showInputMessage="1" showErrorMessage="1" sqref="C8:D8" xr:uid="{1A48F27A-5453-47BA-A343-31AF413605FC}">
      <formula1>45748</formula1>
      <formula2>K2</formula2>
    </dataValidation>
  </dataValidations>
  <printOptions horizontalCentered="1"/>
  <pageMargins left="0.59055118110236227" right="0.59055118110236227" top="0.39370078740157483" bottom="0.39370078740157483" header="0.19685039370078741" footer="0.19685039370078741"/>
  <pageSetup paperSize="9" scale="89" orientation="portrait" r:id="rId1"/>
  <headerFooter>
    <oddHeader>&amp;C&amp;9&amp;F</oddHeader>
    <oddFooter>&amp;C&amp;10&amp;P/&amp;N</oddFooter>
  </headerFooter>
  <ignoredErrors>
    <ignoredError sqref="F35" unlocked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8E2F7A-9A67-4498-BF89-8836C6761FB8}">
  <sheetPr codeName="Sheet2">
    <pageSetUpPr fitToPage="1"/>
  </sheetPr>
  <dimension ref="A1:K277"/>
  <sheetViews>
    <sheetView showGridLines="0" view="pageBreakPreview" zoomScaleNormal="100" zoomScaleSheetLayoutView="100" workbookViewId="0"/>
  </sheetViews>
  <sheetFormatPr defaultColWidth="0" defaultRowHeight="15.75"/>
  <cols>
    <col min="1" max="1" width="9.77734375" customWidth="1"/>
    <col min="2" max="2" width="11.77734375" customWidth="1"/>
    <col min="3" max="3" width="5.77734375" customWidth="1"/>
    <col min="4" max="4" width="28.77734375" customWidth="1"/>
    <col min="5" max="5" width="11.77734375" customWidth="1"/>
    <col min="6" max="6" width="6.77734375" customWidth="1"/>
    <col min="7" max="7" width="13.77734375" customWidth="1"/>
    <col min="8" max="8" width="1.6640625" customWidth="1"/>
    <col min="9" max="9" width="30.109375" customWidth="1"/>
    <col min="10" max="10" width="9.109375" hidden="1" customWidth="1"/>
    <col min="11" max="11" width="12.77734375" hidden="1" customWidth="1"/>
    <col min="12" max="16384" width="9.109375" hidden="1"/>
  </cols>
  <sheetData>
    <row r="1" spans="1:11" ht="15" customHeight="1">
      <c r="A1" s="39"/>
      <c r="G1" s="1" t="str">
        <f>'1)受入れ機関概要'!G1</f>
        <v>Ver.2501</v>
      </c>
      <c r="I1" s="366" t="s">
        <v>550</v>
      </c>
      <c r="J1" s="366"/>
      <c r="K1" s="366"/>
    </row>
    <row r="2" spans="1:11" ht="18" customHeight="1">
      <c r="A2" s="253" t="s">
        <v>126</v>
      </c>
      <c r="B2" s="254"/>
      <c r="C2" s="255"/>
      <c r="D2" s="256"/>
      <c r="E2" s="256"/>
      <c r="F2" s="256"/>
      <c r="G2" s="257"/>
      <c r="H2" s="28"/>
    </row>
    <row r="3" spans="1:11" ht="15" customHeight="1">
      <c r="A3" s="41" t="s">
        <v>165</v>
      </c>
      <c r="B3" s="659">
        <v>1</v>
      </c>
      <c r="C3" s="659"/>
      <c r="D3" s="659"/>
      <c r="E3" s="659"/>
      <c r="F3" s="659"/>
      <c r="G3" s="660"/>
    </row>
    <row r="4" spans="1:11" ht="15" customHeight="1">
      <c r="A4" s="680" t="s">
        <v>0</v>
      </c>
      <c r="B4" s="663" t="s">
        <v>8</v>
      </c>
      <c r="C4" s="664"/>
      <c r="D4" s="40" t="s">
        <v>23</v>
      </c>
      <c r="E4" s="249" t="s">
        <v>514</v>
      </c>
      <c r="F4" s="250" t="str">
        <f>IF(E4="香港・マカオ以外","登録番号","")</f>
        <v/>
      </c>
      <c r="G4" s="214"/>
    </row>
    <row r="5" spans="1:11" ht="15" customHeight="1">
      <c r="A5" s="681"/>
      <c r="B5" s="651" t="s">
        <v>9</v>
      </c>
      <c r="C5" s="26" t="s">
        <v>10</v>
      </c>
      <c r="D5" s="644" t="s">
        <v>63</v>
      </c>
      <c r="E5" s="645"/>
      <c r="F5" s="645"/>
      <c r="G5" s="646"/>
    </row>
    <row r="6" spans="1:11" ht="15" customHeight="1">
      <c r="A6" s="681"/>
      <c r="B6" s="652"/>
      <c r="C6" s="26" t="s">
        <v>11</v>
      </c>
      <c r="D6" s="644" t="s">
        <v>118</v>
      </c>
      <c r="E6" s="645"/>
      <c r="F6" s="645"/>
      <c r="G6" s="646"/>
    </row>
    <row r="7" spans="1:11" ht="15" customHeight="1">
      <c r="A7" s="681"/>
      <c r="B7" s="647" t="s">
        <v>480</v>
      </c>
      <c r="C7" s="26" t="s">
        <v>10</v>
      </c>
      <c r="D7" s="644" t="s">
        <v>63</v>
      </c>
      <c r="E7" s="645"/>
      <c r="F7" s="645"/>
      <c r="G7" s="646"/>
    </row>
    <row r="8" spans="1:11" ht="15" customHeight="1">
      <c r="A8" s="681"/>
      <c r="B8" s="648"/>
      <c r="C8" s="26" t="s">
        <v>11</v>
      </c>
      <c r="D8" s="644" t="s">
        <v>118</v>
      </c>
      <c r="E8" s="645"/>
      <c r="F8" s="645"/>
      <c r="G8" s="646"/>
    </row>
    <row r="9" spans="1:11" ht="62.1" customHeight="1">
      <c r="A9" s="681"/>
      <c r="B9" s="649" t="s">
        <v>231</v>
      </c>
      <c r="C9" s="650"/>
      <c r="D9" s="668" t="s">
        <v>136</v>
      </c>
      <c r="E9" s="669"/>
      <c r="F9" s="669"/>
      <c r="G9" s="670"/>
    </row>
    <row r="10" spans="1:11" ht="15" customHeight="1">
      <c r="A10" s="682" t="s">
        <v>278</v>
      </c>
      <c r="B10" s="678" t="s">
        <v>2</v>
      </c>
      <c r="C10" s="672"/>
      <c r="D10" s="665"/>
      <c r="E10" s="666"/>
      <c r="F10" s="666"/>
      <c r="G10" s="667"/>
    </row>
    <row r="11" spans="1:11" ht="15" customHeight="1">
      <c r="A11" s="683"/>
      <c r="B11" s="677" t="s">
        <v>3</v>
      </c>
      <c r="C11" s="674"/>
      <c r="D11" s="653"/>
      <c r="E11" s="654"/>
      <c r="F11" s="654"/>
      <c r="G11" s="655"/>
    </row>
    <row r="12" spans="1:11" ht="15" customHeight="1">
      <c r="A12" s="683"/>
      <c r="B12" s="677" t="s">
        <v>4</v>
      </c>
      <c r="C12" s="674"/>
      <c r="D12" s="653"/>
      <c r="E12" s="654"/>
      <c r="F12" s="654"/>
      <c r="G12" s="655"/>
    </row>
    <row r="13" spans="1:11" ht="15" customHeight="1">
      <c r="A13" s="684"/>
      <c r="B13" s="679" t="s">
        <v>96</v>
      </c>
      <c r="C13" s="662"/>
      <c r="D13" s="656" t="s">
        <v>110</v>
      </c>
      <c r="E13" s="657"/>
      <c r="F13" s="657"/>
      <c r="G13" s="658"/>
    </row>
    <row r="14" spans="1:11" ht="15" customHeight="1">
      <c r="A14" s="41" t="s">
        <v>165</v>
      </c>
      <c r="B14" s="659">
        <v>2</v>
      </c>
      <c r="C14" s="659"/>
      <c r="D14" s="659"/>
      <c r="E14" s="659"/>
      <c r="F14" s="659"/>
      <c r="G14" s="660"/>
    </row>
    <row r="15" spans="1:11" ht="15" customHeight="1">
      <c r="A15" s="680" t="s">
        <v>0</v>
      </c>
      <c r="B15" s="663" t="s">
        <v>8</v>
      </c>
      <c r="C15" s="664"/>
      <c r="D15" s="40" t="s">
        <v>23</v>
      </c>
      <c r="E15" s="249" t="s">
        <v>514</v>
      </c>
      <c r="F15" s="250" t="str">
        <f>IF(E15="香港・マカオ以外","登録番号","")</f>
        <v/>
      </c>
      <c r="G15" s="214"/>
    </row>
    <row r="16" spans="1:11" ht="15" customHeight="1">
      <c r="A16" s="681"/>
      <c r="B16" s="651" t="s">
        <v>9</v>
      </c>
      <c r="C16" s="26" t="s">
        <v>10</v>
      </c>
      <c r="D16" s="644" t="s">
        <v>63</v>
      </c>
      <c r="E16" s="645"/>
      <c r="F16" s="645"/>
      <c r="G16" s="646"/>
    </row>
    <row r="17" spans="1:7" ht="15" customHeight="1">
      <c r="A17" s="681"/>
      <c r="B17" s="652"/>
      <c r="C17" s="26" t="s">
        <v>11</v>
      </c>
      <c r="D17" s="644" t="s">
        <v>118</v>
      </c>
      <c r="E17" s="645"/>
      <c r="F17" s="645"/>
      <c r="G17" s="646"/>
    </row>
    <row r="18" spans="1:7" ht="15" customHeight="1">
      <c r="A18" s="681"/>
      <c r="B18" s="647" t="s">
        <v>480</v>
      </c>
      <c r="C18" s="26" t="s">
        <v>10</v>
      </c>
      <c r="D18" s="644" t="s">
        <v>63</v>
      </c>
      <c r="E18" s="645"/>
      <c r="F18" s="645"/>
      <c r="G18" s="646"/>
    </row>
    <row r="19" spans="1:7" ht="15" customHeight="1">
      <c r="A19" s="681"/>
      <c r="B19" s="648"/>
      <c r="C19" s="26" t="s">
        <v>11</v>
      </c>
      <c r="D19" s="644" t="s">
        <v>118</v>
      </c>
      <c r="E19" s="645"/>
      <c r="F19" s="645"/>
      <c r="G19" s="646"/>
    </row>
    <row r="20" spans="1:7" ht="62.1" customHeight="1">
      <c r="A20" s="681"/>
      <c r="B20" s="649" t="s">
        <v>231</v>
      </c>
      <c r="C20" s="650"/>
      <c r="D20" s="668" t="s">
        <v>63</v>
      </c>
      <c r="E20" s="669"/>
      <c r="F20" s="669"/>
      <c r="G20" s="670"/>
    </row>
    <row r="21" spans="1:7" ht="15" customHeight="1">
      <c r="A21" s="682" t="s">
        <v>278</v>
      </c>
      <c r="B21" s="671" t="s">
        <v>2</v>
      </c>
      <c r="C21" s="672"/>
      <c r="D21" s="665"/>
      <c r="E21" s="666"/>
      <c r="F21" s="666"/>
      <c r="G21" s="667"/>
    </row>
    <row r="22" spans="1:7" ht="15" customHeight="1">
      <c r="A22" s="683"/>
      <c r="B22" s="673" t="s">
        <v>3</v>
      </c>
      <c r="C22" s="674"/>
      <c r="D22" s="653"/>
      <c r="E22" s="654"/>
      <c r="F22" s="654"/>
      <c r="G22" s="655"/>
    </row>
    <row r="23" spans="1:7" ht="15" customHeight="1">
      <c r="A23" s="683"/>
      <c r="B23" s="673" t="s">
        <v>4</v>
      </c>
      <c r="C23" s="674"/>
      <c r="D23" s="653"/>
      <c r="E23" s="654"/>
      <c r="F23" s="654"/>
      <c r="G23" s="655"/>
    </row>
    <row r="24" spans="1:7" ht="15" customHeight="1">
      <c r="A24" s="684"/>
      <c r="B24" s="661" t="s">
        <v>96</v>
      </c>
      <c r="C24" s="662"/>
      <c r="D24" s="656" t="s">
        <v>110</v>
      </c>
      <c r="E24" s="657"/>
      <c r="F24" s="657"/>
      <c r="G24" s="658"/>
    </row>
    <row r="25" spans="1:7" ht="15" customHeight="1">
      <c r="A25" s="41" t="s">
        <v>165</v>
      </c>
      <c r="B25" s="659">
        <v>3</v>
      </c>
      <c r="C25" s="659"/>
      <c r="D25" s="659"/>
      <c r="E25" s="659"/>
      <c r="F25" s="659"/>
      <c r="G25" s="660"/>
    </row>
    <row r="26" spans="1:7" ht="15" customHeight="1">
      <c r="A26" s="680" t="s">
        <v>0</v>
      </c>
      <c r="B26" s="663" t="s">
        <v>8</v>
      </c>
      <c r="C26" s="664"/>
      <c r="D26" s="40" t="s">
        <v>23</v>
      </c>
      <c r="E26" s="249" t="s">
        <v>514</v>
      </c>
      <c r="F26" s="250" t="str">
        <f>IF(E26="香港・マカオ以外","登録番号","")</f>
        <v/>
      </c>
      <c r="G26" s="214"/>
    </row>
    <row r="27" spans="1:7" ht="15" customHeight="1">
      <c r="A27" s="681"/>
      <c r="B27" s="651" t="s">
        <v>9</v>
      </c>
      <c r="C27" s="26" t="s">
        <v>10</v>
      </c>
      <c r="D27" s="644" t="s">
        <v>63</v>
      </c>
      <c r="E27" s="645"/>
      <c r="F27" s="645"/>
      <c r="G27" s="646"/>
    </row>
    <row r="28" spans="1:7" ht="15" customHeight="1">
      <c r="A28" s="681"/>
      <c r="B28" s="652"/>
      <c r="C28" s="26" t="s">
        <v>11</v>
      </c>
      <c r="D28" s="644" t="s">
        <v>118</v>
      </c>
      <c r="E28" s="645"/>
      <c r="F28" s="645"/>
      <c r="G28" s="646"/>
    </row>
    <row r="29" spans="1:7" ht="15" customHeight="1">
      <c r="A29" s="681"/>
      <c r="B29" s="647" t="s">
        <v>480</v>
      </c>
      <c r="C29" s="26" t="s">
        <v>10</v>
      </c>
      <c r="D29" s="644" t="s">
        <v>63</v>
      </c>
      <c r="E29" s="645"/>
      <c r="F29" s="645"/>
      <c r="G29" s="646"/>
    </row>
    <row r="30" spans="1:7" ht="15" customHeight="1">
      <c r="A30" s="681"/>
      <c r="B30" s="648"/>
      <c r="C30" s="26" t="s">
        <v>11</v>
      </c>
      <c r="D30" s="644" t="s">
        <v>118</v>
      </c>
      <c r="E30" s="645"/>
      <c r="F30" s="645"/>
      <c r="G30" s="646"/>
    </row>
    <row r="31" spans="1:7" ht="62.1" customHeight="1">
      <c r="A31" s="681"/>
      <c r="B31" s="649" t="s">
        <v>231</v>
      </c>
      <c r="C31" s="650"/>
      <c r="D31" s="668" t="s">
        <v>63</v>
      </c>
      <c r="E31" s="669"/>
      <c r="F31" s="669"/>
      <c r="G31" s="670"/>
    </row>
    <row r="32" spans="1:7" ht="15" customHeight="1">
      <c r="A32" s="682" t="s">
        <v>278</v>
      </c>
      <c r="B32" s="671" t="s">
        <v>2</v>
      </c>
      <c r="C32" s="672"/>
      <c r="D32" s="665"/>
      <c r="E32" s="666"/>
      <c r="F32" s="666"/>
      <c r="G32" s="667"/>
    </row>
    <row r="33" spans="1:7" ht="15" customHeight="1">
      <c r="A33" s="683"/>
      <c r="B33" s="673" t="s">
        <v>3</v>
      </c>
      <c r="C33" s="674"/>
      <c r="D33" s="653"/>
      <c r="E33" s="654"/>
      <c r="F33" s="654"/>
      <c r="G33" s="655"/>
    </row>
    <row r="34" spans="1:7" ht="15" customHeight="1">
      <c r="A34" s="683"/>
      <c r="B34" s="673" t="s">
        <v>4</v>
      </c>
      <c r="C34" s="674"/>
      <c r="D34" s="653"/>
      <c r="E34" s="654"/>
      <c r="F34" s="654"/>
      <c r="G34" s="655"/>
    </row>
    <row r="35" spans="1:7" ht="15" customHeight="1">
      <c r="A35" s="684"/>
      <c r="B35" s="661" t="s">
        <v>96</v>
      </c>
      <c r="C35" s="662"/>
      <c r="D35" s="656" t="s">
        <v>110</v>
      </c>
      <c r="E35" s="657"/>
      <c r="F35" s="657"/>
      <c r="G35" s="658"/>
    </row>
    <row r="36" spans="1:7" ht="15" customHeight="1">
      <c r="A36" s="41" t="s">
        <v>165</v>
      </c>
      <c r="B36" s="659">
        <v>4</v>
      </c>
      <c r="C36" s="659"/>
      <c r="D36" s="659"/>
      <c r="E36" s="659"/>
      <c r="F36" s="659"/>
      <c r="G36" s="660"/>
    </row>
    <row r="37" spans="1:7" ht="15" customHeight="1">
      <c r="A37" s="680" t="s">
        <v>0</v>
      </c>
      <c r="B37" s="663" t="s">
        <v>8</v>
      </c>
      <c r="C37" s="664"/>
      <c r="D37" s="40" t="s">
        <v>23</v>
      </c>
      <c r="E37" s="249" t="s">
        <v>514</v>
      </c>
      <c r="F37" s="250" t="str">
        <f>IF(E37="香港・マカオ以外","登録番号","")</f>
        <v/>
      </c>
      <c r="G37" s="214"/>
    </row>
    <row r="38" spans="1:7" ht="15" customHeight="1">
      <c r="A38" s="681"/>
      <c r="B38" s="651" t="s">
        <v>9</v>
      </c>
      <c r="C38" s="26" t="s">
        <v>10</v>
      </c>
      <c r="D38" s="644" t="s">
        <v>63</v>
      </c>
      <c r="E38" s="645"/>
      <c r="F38" s="645"/>
      <c r="G38" s="646"/>
    </row>
    <row r="39" spans="1:7" ht="15" customHeight="1">
      <c r="A39" s="681"/>
      <c r="B39" s="652"/>
      <c r="C39" s="26" t="s">
        <v>11</v>
      </c>
      <c r="D39" s="644" t="s">
        <v>118</v>
      </c>
      <c r="E39" s="645"/>
      <c r="F39" s="645"/>
      <c r="G39" s="646"/>
    </row>
    <row r="40" spans="1:7" ht="15" customHeight="1">
      <c r="A40" s="681"/>
      <c r="B40" s="647" t="s">
        <v>480</v>
      </c>
      <c r="C40" s="26" t="s">
        <v>10</v>
      </c>
      <c r="D40" s="644" t="s">
        <v>63</v>
      </c>
      <c r="E40" s="645"/>
      <c r="F40" s="645"/>
      <c r="G40" s="646"/>
    </row>
    <row r="41" spans="1:7" ht="15" customHeight="1">
      <c r="A41" s="681"/>
      <c r="B41" s="648"/>
      <c r="C41" s="26" t="s">
        <v>11</v>
      </c>
      <c r="D41" s="644" t="s">
        <v>118</v>
      </c>
      <c r="E41" s="645"/>
      <c r="F41" s="645"/>
      <c r="G41" s="646"/>
    </row>
    <row r="42" spans="1:7" ht="62.1" customHeight="1">
      <c r="A42" s="681"/>
      <c r="B42" s="649" t="s">
        <v>231</v>
      </c>
      <c r="C42" s="650"/>
      <c r="D42" s="668" t="s">
        <v>63</v>
      </c>
      <c r="E42" s="669"/>
      <c r="F42" s="669"/>
      <c r="G42" s="670"/>
    </row>
    <row r="43" spans="1:7" ht="15" customHeight="1">
      <c r="A43" s="682" t="s">
        <v>278</v>
      </c>
      <c r="B43" s="671" t="s">
        <v>2</v>
      </c>
      <c r="C43" s="672"/>
      <c r="D43" s="665"/>
      <c r="E43" s="666"/>
      <c r="F43" s="666"/>
      <c r="G43" s="667"/>
    </row>
    <row r="44" spans="1:7" ht="15" customHeight="1">
      <c r="A44" s="683"/>
      <c r="B44" s="673" t="s">
        <v>3</v>
      </c>
      <c r="C44" s="674"/>
      <c r="D44" s="653"/>
      <c r="E44" s="654"/>
      <c r="F44" s="654"/>
      <c r="G44" s="655"/>
    </row>
    <row r="45" spans="1:7" ht="15" customHeight="1">
      <c r="A45" s="683"/>
      <c r="B45" s="673" t="s">
        <v>4</v>
      </c>
      <c r="C45" s="674"/>
      <c r="D45" s="653"/>
      <c r="E45" s="654"/>
      <c r="F45" s="654"/>
      <c r="G45" s="655"/>
    </row>
    <row r="46" spans="1:7" ht="15" customHeight="1">
      <c r="A46" s="684"/>
      <c r="B46" s="661" t="s">
        <v>96</v>
      </c>
      <c r="C46" s="662"/>
      <c r="D46" s="656" t="s">
        <v>110</v>
      </c>
      <c r="E46" s="657"/>
      <c r="F46" s="657"/>
      <c r="G46" s="658"/>
    </row>
    <row r="47" spans="1:7" ht="15" customHeight="1">
      <c r="A47" s="41" t="s">
        <v>165</v>
      </c>
      <c r="B47" s="659">
        <v>5</v>
      </c>
      <c r="C47" s="659"/>
      <c r="D47" s="659"/>
      <c r="E47" s="659"/>
      <c r="F47" s="659"/>
      <c r="G47" s="660"/>
    </row>
    <row r="48" spans="1:7" ht="15" customHeight="1">
      <c r="A48" s="680" t="s">
        <v>0</v>
      </c>
      <c r="B48" s="663" t="s">
        <v>8</v>
      </c>
      <c r="C48" s="664"/>
      <c r="D48" s="40" t="s">
        <v>23</v>
      </c>
      <c r="E48" s="249" t="s">
        <v>514</v>
      </c>
      <c r="F48" s="250" t="str">
        <f>IF(E48="香港・マカオ以外","登録番号","")</f>
        <v/>
      </c>
      <c r="G48" s="214"/>
    </row>
    <row r="49" spans="1:7" ht="15" customHeight="1">
      <c r="A49" s="681"/>
      <c r="B49" s="651" t="s">
        <v>9</v>
      </c>
      <c r="C49" s="26" t="s">
        <v>10</v>
      </c>
      <c r="D49" s="644" t="s">
        <v>63</v>
      </c>
      <c r="E49" s="645"/>
      <c r="F49" s="645"/>
      <c r="G49" s="646"/>
    </row>
    <row r="50" spans="1:7" ht="15" customHeight="1">
      <c r="A50" s="681"/>
      <c r="B50" s="652"/>
      <c r="C50" s="26" t="s">
        <v>11</v>
      </c>
      <c r="D50" s="644" t="s">
        <v>118</v>
      </c>
      <c r="E50" s="645"/>
      <c r="F50" s="645"/>
      <c r="G50" s="646"/>
    </row>
    <row r="51" spans="1:7" ht="15" customHeight="1">
      <c r="A51" s="681"/>
      <c r="B51" s="647" t="s">
        <v>480</v>
      </c>
      <c r="C51" s="26" t="s">
        <v>10</v>
      </c>
      <c r="D51" s="644" t="s">
        <v>63</v>
      </c>
      <c r="E51" s="645"/>
      <c r="F51" s="645"/>
      <c r="G51" s="646"/>
    </row>
    <row r="52" spans="1:7" ht="15" customHeight="1">
      <c r="A52" s="681"/>
      <c r="B52" s="648"/>
      <c r="C52" s="26" t="s">
        <v>11</v>
      </c>
      <c r="D52" s="644" t="s">
        <v>118</v>
      </c>
      <c r="E52" s="645"/>
      <c r="F52" s="645"/>
      <c r="G52" s="646"/>
    </row>
    <row r="53" spans="1:7" ht="62.1" customHeight="1">
      <c r="A53" s="681"/>
      <c r="B53" s="649" t="s">
        <v>231</v>
      </c>
      <c r="C53" s="650"/>
      <c r="D53" s="668" t="s">
        <v>63</v>
      </c>
      <c r="E53" s="669"/>
      <c r="F53" s="669"/>
      <c r="G53" s="670"/>
    </row>
    <row r="54" spans="1:7" ht="15" customHeight="1">
      <c r="A54" s="682" t="s">
        <v>278</v>
      </c>
      <c r="B54" s="671" t="s">
        <v>2</v>
      </c>
      <c r="C54" s="672"/>
      <c r="D54" s="665"/>
      <c r="E54" s="666"/>
      <c r="F54" s="666"/>
      <c r="G54" s="667"/>
    </row>
    <row r="55" spans="1:7" ht="15" customHeight="1">
      <c r="A55" s="683"/>
      <c r="B55" s="673" t="s">
        <v>3</v>
      </c>
      <c r="C55" s="674"/>
      <c r="D55" s="653"/>
      <c r="E55" s="654"/>
      <c r="F55" s="654"/>
      <c r="G55" s="655"/>
    </row>
    <row r="56" spans="1:7" ht="15" customHeight="1">
      <c r="A56" s="683"/>
      <c r="B56" s="673" t="s">
        <v>4</v>
      </c>
      <c r="C56" s="674"/>
      <c r="D56" s="653"/>
      <c r="E56" s="654"/>
      <c r="F56" s="654"/>
      <c r="G56" s="655"/>
    </row>
    <row r="57" spans="1:7" ht="15" customHeight="1">
      <c r="A57" s="684"/>
      <c r="B57" s="661" t="s">
        <v>96</v>
      </c>
      <c r="C57" s="662"/>
      <c r="D57" s="656" t="s">
        <v>110</v>
      </c>
      <c r="E57" s="657"/>
      <c r="F57" s="657"/>
      <c r="G57" s="658"/>
    </row>
    <row r="58" spans="1:7" ht="15" customHeight="1">
      <c r="A58" s="41" t="s">
        <v>165</v>
      </c>
      <c r="B58" s="659">
        <v>6</v>
      </c>
      <c r="C58" s="659"/>
      <c r="D58" s="659"/>
      <c r="E58" s="659"/>
      <c r="F58" s="659"/>
      <c r="G58" s="660"/>
    </row>
    <row r="59" spans="1:7" ht="15" customHeight="1">
      <c r="A59" s="680" t="s">
        <v>0</v>
      </c>
      <c r="B59" s="663" t="s">
        <v>8</v>
      </c>
      <c r="C59" s="664"/>
      <c r="D59" s="40" t="s">
        <v>23</v>
      </c>
      <c r="E59" s="249" t="s">
        <v>514</v>
      </c>
      <c r="F59" s="250" t="str">
        <f>IF(E59="香港・マカオ以外","登録番号","")</f>
        <v/>
      </c>
      <c r="G59" s="214"/>
    </row>
    <row r="60" spans="1:7" ht="15" customHeight="1">
      <c r="A60" s="681"/>
      <c r="B60" s="651" t="s">
        <v>9</v>
      </c>
      <c r="C60" s="26" t="s">
        <v>10</v>
      </c>
      <c r="D60" s="644" t="s">
        <v>63</v>
      </c>
      <c r="E60" s="645"/>
      <c r="F60" s="645"/>
      <c r="G60" s="646"/>
    </row>
    <row r="61" spans="1:7" ht="15" customHeight="1">
      <c r="A61" s="681"/>
      <c r="B61" s="652"/>
      <c r="C61" s="26" t="s">
        <v>11</v>
      </c>
      <c r="D61" s="644" t="s">
        <v>118</v>
      </c>
      <c r="E61" s="645"/>
      <c r="F61" s="645"/>
      <c r="G61" s="646"/>
    </row>
    <row r="62" spans="1:7" ht="15" customHeight="1">
      <c r="A62" s="681"/>
      <c r="B62" s="647" t="s">
        <v>480</v>
      </c>
      <c r="C62" s="26" t="s">
        <v>10</v>
      </c>
      <c r="D62" s="644" t="s">
        <v>63</v>
      </c>
      <c r="E62" s="645"/>
      <c r="F62" s="645"/>
      <c r="G62" s="646"/>
    </row>
    <row r="63" spans="1:7" ht="15" customHeight="1">
      <c r="A63" s="681"/>
      <c r="B63" s="648"/>
      <c r="C63" s="26" t="s">
        <v>11</v>
      </c>
      <c r="D63" s="644" t="s">
        <v>118</v>
      </c>
      <c r="E63" s="645"/>
      <c r="F63" s="645"/>
      <c r="G63" s="646"/>
    </row>
    <row r="64" spans="1:7" ht="62.1" customHeight="1">
      <c r="A64" s="681"/>
      <c r="B64" s="649" t="s">
        <v>231</v>
      </c>
      <c r="C64" s="650"/>
      <c r="D64" s="668" t="s">
        <v>63</v>
      </c>
      <c r="E64" s="669"/>
      <c r="F64" s="669"/>
      <c r="G64" s="670"/>
    </row>
    <row r="65" spans="1:7" ht="15" customHeight="1">
      <c r="A65" s="682" t="s">
        <v>278</v>
      </c>
      <c r="B65" s="671" t="s">
        <v>2</v>
      </c>
      <c r="C65" s="672"/>
      <c r="D65" s="665"/>
      <c r="E65" s="666"/>
      <c r="F65" s="666"/>
      <c r="G65" s="667"/>
    </row>
    <row r="66" spans="1:7" ht="15" customHeight="1">
      <c r="A66" s="683"/>
      <c r="B66" s="673" t="s">
        <v>3</v>
      </c>
      <c r="C66" s="674"/>
      <c r="D66" s="653"/>
      <c r="E66" s="654"/>
      <c r="F66" s="654"/>
      <c r="G66" s="655"/>
    </row>
    <row r="67" spans="1:7" ht="15" customHeight="1">
      <c r="A67" s="683"/>
      <c r="B67" s="673" t="s">
        <v>4</v>
      </c>
      <c r="C67" s="674"/>
      <c r="D67" s="653"/>
      <c r="E67" s="654"/>
      <c r="F67" s="654"/>
      <c r="G67" s="655"/>
    </row>
    <row r="68" spans="1:7" ht="15" customHeight="1">
      <c r="A68" s="684"/>
      <c r="B68" s="661" t="s">
        <v>96</v>
      </c>
      <c r="C68" s="662"/>
      <c r="D68" s="656" t="s">
        <v>110</v>
      </c>
      <c r="E68" s="657"/>
      <c r="F68" s="657"/>
      <c r="G68" s="658"/>
    </row>
    <row r="69" spans="1:7" ht="15" customHeight="1">
      <c r="A69" s="41" t="s">
        <v>165</v>
      </c>
      <c r="B69" s="659">
        <v>7</v>
      </c>
      <c r="C69" s="659"/>
      <c r="D69" s="659"/>
      <c r="E69" s="659"/>
      <c r="F69" s="659"/>
      <c r="G69" s="660"/>
    </row>
    <row r="70" spans="1:7" ht="15" customHeight="1">
      <c r="A70" s="680" t="s">
        <v>0</v>
      </c>
      <c r="B70" s="663" t="s">
        <v>8</v>
      </c>
      <c r="C70" s="664"/>
      <c r="D70" s="40" t="s">
        <v>23</v>
      </c>
      <c r="E70" s="249" t="s">
        <v>514</v>
      </c>
      <c r="F70" s="250" t="str">
        <f>IF(E70="香港・マカオ以外","登録番号","")</f>
        <v/>
      </c>
      <c r="G70" s="214"/>
    </row>
    <row r="71" spans="1:7" ht="15" customHeight="1">
      <c r="A71" s="681"/>
      <c r="B71" s="651" t="s">
        <v>9</v>
      </c>
      <c r="C71" s="26" t="s">
        <v>10</v>
      </c>
      <c r="D71" s="644" t="s">
        <v>63</v>
      </c>
      <c r="E71" s="645"/>
      <c r="F71" s="645"/>
      <c r="G71" s="646"/>
    </row>
    <row r="72" spans="1:7" ht="15" customHeight="1">
      <c r="A72" s="681"/>
      <c r="B72" s="652"/>
      <c r="C72" s="26" t="s">
        <v>11</v>
      </c>
      <c r="D72" s="644" t="s">
        <v>118</v>
      </c>
      <c r="E72" s="645"/>
      <c r="F72" s="645"/>
      <c r="G72" s="646"/>
    </row>
    <row r="73" spans="1:7" ht="15" customHeight="1">
      <c r="A73" s="681"/>
      <c r="B73" s="647" t="s">
        <v>480</v>
      </c>
      <c r="C73" s="26" t="s">
        <v>10</v>
      </c>
      <c r="D73" s="644" t="s">
        <v>63</v>
      </c>
      <c r="E73" s="645"/>
      <c r="F73" s="645"/>
      <c r="G73" s="646"/>
    </row>
    <row r="74" spans="1:7" ht="15" customHeight="1">
      <c r="A74" s="681"/>
      <c r="B74" s="648"/>
      <c r="C74" s="26" t="s">
        <v>11</v>
      </c>
      <c r="D74" s="644" t="s">
        <v>118</v>
      </c>
      <c r="E74" s="645"/>
      <c r="F74" s="645"/>
      <c r="G74" s="646"/>
    </row>
    <row r="75" spans="1:7" ht="62.1" customHeight="1">
      <c r="A75" s="681"/>
      <c r="B75" s="649" t="s">
        <v>231</v>
      </c>
      <c r="C75" s="650"/>
      <c r="D75" s="668" t="s">
        <v>63</v>
      </c>
      <c r="E75" s="669"/>
      <c r="F75" s="669"/>
      <c r="G75" s="670"/>
    </row>
    <row r="76" spans="1:7" ht="15" customHeight="1">
      <c r="A76" s="682" t="s">
        <v>278</v>
      </c>
      <c r="B76" s="671" t="s">
        <v>2</v>
      </c>
      <c r="C76" s="672"/>
      <c r="D76" s="665"/>
      <c r="E76" s="666"/>
      <c r="F76" s="666"/>
      <c r="G76" s="667"/>
    </row>
    <row r="77" spans="1:7" ht="15" customHeight="1">
      <c r="A77" s="683"/>
      <c r="B77" s="673" t="s">
        <v>3</v>
      </c>
      <c r="C77" s="674"/>
      <c r="D77" s="653"/>
      <c r="E77" s="654"/>
      <c r="F77" s="654"/>
      <c r="G77" s="655"/>
    </row>
    <row r="78" spans="1:7" ht="15" customHeight="1">
      <c r="A78" s="683"/>
      <c r="B78" s="673" t="s">
        <v>4</v>
      </c>
      <c r="C78" s="674"/>
      <c r="D78" s="653"/>
      <c r="E78" s="654"/>
      <c r="F78" s="654"/>
      <c r="G78" s="655"/>
    </row>
    <row r="79" spans="1:7" ht="15" customHeight="1">
      <c r="A79" s="684"/>
      <c r="B79" s="661" t="s">
        <v>96</v>
      </c>
      <c r="C79" s="662"/>
      <c r="D79" s="656" t="s">
        <v>110</v>
      </c>
      <c r="E79" s="657"/>
      <c r="F79" s="657"/>
      <c r="G79" s="658"/>
    </row>
    <row r="80" spans="1:7" ht="15" customHeight="1">
      <c r="A80" s="41" t="s">
        <v>165</v>
      </c>
      <c r="B80" s="659">
        <v>8</v>
      </c>
      <c r="C80" s="659"/>
      <c r="D80" s="659"/>
      <c r="E80" s="659"/>
      <c r="F80" s="659"/>
      <c r="G80" s="660"/>
    </row>
    <row r="81" spans="1:7" ht="15" customHeight="1">
      <c r="A81" s="680" t="s">
        <v>0</v>
      </c>
      <c r="B81" s="663" t="s">
        <v>8</v>
      </c>
      <c r="C81" s="664"/>
      <c r="D81" s="40" t="s">
        <v>23</v>
      </c>
      <c r="E81" s="249" t="s">
        <v>514</v>
      </c>
      <c r="F81" s="250" t="str">
        <f>IF(E81="香港・マカオ以外","登録番号","")</f>
        <v/>
      </c>
      <c r="G81" s="214"/>
    </row>
    <row r="82" spans="1:7" ht="15" customHeight="1">
      <c r="A82" s="681"/>
      <c r="B82" s="651" t="s">
        <v>9</v>
      </c>
      <c r="C82" s="26" t="s">
        <v>10</v>
      </c>
      <c r="D82" s="644" t="s">
        <v>63</v>
      </c>
      <c r="E82" s="645"/>
      <c r="F82" s="645"/>
      <c r="G82" s="646"/>
    </row>
    <row r="83" spans="1:7" ht="15" customHeight="1">
      <c r="A83" s="681"/>
      <c r="B83" s="652"/>
      <c r="C83" s="26" t="s">
        <v>11</v>
      </c>
      <c r="D83" s="644" t="s">
        <v>118</v>
      </c>
      <c r="E83" s="645"/>
      <c r="F83" s="645"/>
      <c r="G83" s="646"/>
    </row>
    <row r="84" spans="1:7" ht="15" customHeight="1">
      <c r="A84" s="681"/>
      <c r="B84" s="647" t="s">
        <v>480</v>
      </c>
      <c r="C84" s="26" t="s">
        <v>10</v>
      </c>
      <c r="D84" s="644" t="s">
        <v>63</v>
      </c>
      <c r="E84" s="645"/>
      <c r="F84" s="645"/>
      <c r="G84" s="646"/>
    </row>
    <row r="85" spans="1:7" ht="15" customHeight="1">
      <c r="A85" s="681"/>
      <c r="B85" s="648"/>
      <c r="C85" s="26" t="s">
        <v>11</v>
      </c>
      <c r="D85" s="644" t="s">
        <v>118</v>
      </c>
      <c r="E85" s="645"/>
      <c r="F85" s="645"/>
      <c r="G85" s="646"/>
    </row>
    <row r="86" spans="1:7" ht="62.1" customHeight="1">
      <c r="A86" s="681"/>
      <c r="B86" s="649" t="s">
        <v>231</v>
      </c>
      <c r="C86" s="650"/>
      <c r="D86" s="668" t="s">
        <v>63</v>
      </c>
      <c r="E86" s="669"/>
      <c r="F86" s="669"/>
      <c r="G86" s="670"/>
    </row>
    <row r="87" spans="1:7" ht="15" customHeight="1">
      <c r="A87" s="682" t="s">
        <v>278</v>
      </c>
      <c r="B87" s="671" t="s">
        <v>2</v>
      </c>
      <c r="C87" s="672"/>
      <c r="D87" s="665"/>
      <c r="E87" s="666"/>
      <c r="F87" s="666"/>
      <c r="G87" s="667"/>
    </row>
    <row r="88" spans="1:7" ht="15" customHeight="1">
      <c r="A88" s="683"/>
      <c r="B88" s="673" t="s">
        <v>3</v>
      </c>
      <c r="C88" s="674"/>
      <c r="D88" s="653"/>
      <c r="E88" s="654"/>
      <c r="F88" s="654"/>
      <c r="G88" s="655"/>
    </row>
    <row r="89" spans="1:7" ht="15" customHeight="1">
      <c r="A89" s="683"/>
      <c r="B89" s="673" t="s">
        <v>4</v>
      </c>
      <c r="C89" s="674"/>
      <c r="D89" s="653"/>
      <c r="E89" s="654"/>
      <c r="F89" s="654"/>
      <c r="G89" s="655"/>
    </row>
    <row r="90" spans="1:7" ht="15" customHeight="1">
      <c r="A90" s="684"/>
      <c r="B90" s="661" t="s">
        <v>96</v>
      </c>
      <c r="C90" s="662"/>
      <c r="D90" s="656" t="s">
        <v>110</v>
      </c>
      <c r="E90" s="657"/>
      <c r="F90" s="657"/>
      <c r="G90" s="658"/>
    </row>
    <row r="91" spans="1:7" ht="15" customHeight="1">
      <c r="A91" s="41" t="s">
        <v>165</v>
      </c>
      <c r="B91" s="659">
        <v>9</v>
      </c>
      <c r="C91" s="659"/>
      <c r="D91" s="659"/>
      <c r="E91" s="659"/>
      <c r="F91" s="659"/>
      <c r="G91" s="660"/>
    </row>
    <row r="92" spans="1:7" ht="15" customHeight="1">
      <c r="A92" s="680" t="s">
        <v>0</v>
      </c>
      <c r="B92" s="663" t="s">
        <v>8</v>
      </c>
      <c r="C92" s="664"/>
      <c r="D92" s="40" t="s">
        <v>23</v>
      </c>
      <c r="E92" s="249" t="s">
        <v>514</v>
      </c>
      <c r="F92" s="250" t="str">
        <f>IF(E92="香港・マカオ以外","登録番号","")</f>
        <v/>
      </c>
      <c r="G92" s="214"/>
    </row>
    <row r="93" spans="1:7" ht="15" customHeight="1">
      <c r="A93" s="681"/>
      <c r="B93" s="651" t="s">
        <v>9</v>
      </c>
      <c r="C93" s="26" t="s">
        <v>10</v>
      </c>
      <c r="D93" s="644"/>
      <c r="E93" s="645"/>
      <c r="F93" s="645"/>
      <c r="G93" s="646"/>
    </row>
    <row r="94" spans="1:7" ht="15" customHeight="1">
      <c r="A94" s="681"/>
      <c r="B94" s="652"/>
      <c r="C94" s="26" t="s">
        <v>11</v>
      </c>
      <c r="D94" s="644" t="s">
        <v>118</v>
      </c>
      <c r="E94" s="645"/>
      <c r="F94" s="645"/>
      <c r="G94" s="646"/>
    </row>
    <row r="95" spans="1:7" ht="15" customHeight="1">
      <c r="A95" s="681"/>
      <c r="B95" s="647" t="s">
        <v>480</v>
      </c>
      <c r="C95" s="26" t="s">
        <v>10</v>
      </c>
      <c r="D95" s="644" t="s">
        <v>63</v>
      </c>
      <c r="E95" s="645"/>
      <c r="F95" s="645"/>
      <c r="G95" s="646"/>
    </row>
    <row r="96" spans="1:7" ht="15" customHeight="1">
      <c r="A96" s="681"/>
      <c r="B96" s="648"/>
      <c r="C96" s="26" t="s">
        <v>11</v>
      </c>
      <c r="D96" s="644" t="s">
        <v>118</v>
      </c>
      <c r="E96" s="645"/>
      <c r="F96" s="645"/>
      <c r="G96" s="646"/>
    </row>
    <row r="97" spans="1:7" ht="62.1" customHeight="1">
      <c r="A97" s="681"/>
      <c r="B97" s="649" t="s">
        <v>231</v>
      </c>
      <c r="C97" s="650"/>
      <c r="D97" s="668" t="s">
        <v>63</v>
      </c>
      <c r="E97" s="669"/>
      <c r="F97" s="669"/>
      <c r="G97" s="670"/>
    </row>
    <row r="98" spans="1:7" ht="15" customHeight="1">
      <c r="A98" s="682" t="s">
        <v>278</v>
      </c>
      <c r="B98" s="671" t="s">
        <v>2</v>
      </c>
      <c r="C98" s="672"/>
      <c r="D98" s="665"/>
      <c r="E98" s="666"/>
      <c r="F98" s="666"/>
      <c r="G98" s="667"/>
    </row>
    <row r="99" spans="1:7" ht="15" customHeight="1">
      <c r="A99" s="683"/>
      <c r="B99" s="673" t="s">
        <v>3</v>
      </c>
      <c r="C99" s="674"/>
      <c r="D99" s="653"/>
      <c r="E99" s="654"/>
      <c r="F99" s="654"/>
      <c r="G99" s="655"/>
    </row>
    <row r="100" spans="1:7" ht="15" customHeight="1">
      <c r="A100" s="683"/>
      <c r="B100" s="673" t="s">
        <v>4</v>
      </c>
      <c r="C100" s="674"/>
      <c r="D100" s="653"/>
      <c r="E100" s="654"/>
      <c r="F100" s="654"/>
      <c r="G100" s="655"/>
    </row>
    <row r="101" spans="1:7" ht="15" customHeight="1">
      <c r="A101" s="684"/>
      <c r="B101" s="661" t="s">
        <v>96</v>
      </c>
      <c r="C101" s="662"/>
      <c r="D101" s="656" t="s">
        <v>110</v>
      </c>
      <c r="E101" s="657"/>
      <c r="F101" s="657"/>
      <c r="G101" s="658"/>
    </row>
    <row r="102" spans="1:7" ht="15" customHeight="1">
      <c r="A102" s="41" t="s">
        <v>165</v>
      </c>
      <c r="B102" s="659">
        <v>10</v>
      </c>
      <c r="C102" s="659"/>
      <c r="D102" s="659"/>
      <c r="E102" s="659"/>
      <c r="F102" s="659"/>
      <c r="G102" s="660"/>
    </row>
    <row r="103" spans="1:7" ht="15" customHeight="1">
      <c r="A103" s="680" t="s">
        <v>0</v>
      </c>
      <c r="B103" s="663" t="s">
        <v>8</v>
      </c>
      <c r="C103" s="664"/>
      <c r="D103" s="40" t="s">
        <v>23</v>
      </c>
      <c r="E103" s="249" t="s">
        <v>514</v>
      </c>
      <c r="F103" s="250" t="str">
        <f>IF(E103="香港・マカオ以外","登録番号","")</f>
        <v/>
      </c>
      <c r="G103" s="214"/>
    </row>
    <row r="104" spans="1:7" ht="15" customHeight="1">
      <c r="A104" s="681"/>
      <c r="B104" s="651" t="s">
        <v>9</v>
      </c>
      <c r="C104" s="26" t="s">
        <v>10</v>
      </c>
      <c r="D104" s="644" t="s">
        <v>63</v>
      </c>
      <c r="E104" s="645"/>
      <c r="F104" s="645"/>
      <c r="G104" s="646"/>
    </row>
    <row r="105" spans="1:7" ht="15" customHeight="1">
      <c r="A105" s="681"/>
      <c r="B105" s="652"/>
      <c r="C105" s="26" t="s">
        <v>11</v>
      </c>
      <c r="D105" s="644" t="s">
        <v>118</v>
      </c>
      <c r="E105" s="645"/>
      <c r="F105" s="645"/>
      <c r="G105" s="646"/>
    </row>
    <row r="106" spans="1:7" ht="15" customHeight="1">
      <c r="A106" s="681"/>
      <c r="B106" s="647" t="s">
        <v>480</v>
      </c>
      <c r="C106" s="26" t="s">
        <v>10</v>
      </c>
      <c r="D106" s="644" t="s">
        <v>63</v>
      </c>
      <c r="E106" s="645"/>
      <c r="F106" s="645"/>
      <c r="G106" s="646"/>
    </row>
    <row r="107" spans="1:7" ht="15" customHeight="1">
      <c r="A107" s="681"/>
      <c r="B107" s="648"/>
      <c r="C107" s="26" t="s">
        <v>11</v>
      </c>
      <c r="D107" s="644" t="s">
        <v>118</v>
      </c>
      <c r="E107" s="645"/>
      <c r="F107" s="645"/>
      <c r="G107" s="646"/>
    </row>
    <row r="108" spans="1:7" ht="62.1" customHeight="1">
      <c r="A108" s="681"/>
      <c r="B108" s="649" t="s">
        <v>231</v>
      </c>
      <c r="C108" s="650"/>
      <c r="D108" s="668" t="s">
        <v>63</v>
      </c>
      <c r="E108" s="669"/>
      <c r="F108" s="669"/>
      <c r="G108" s="670"/>
    </row>
    <row r="109" spans="1:7" ht="15" customHeight="1">
      <c r="A109" s="682" t="s">
        <v>278</v>
      </c>
      <c r="B109" s="671" t="s">
        <v>2</v>
      </c>
      <c r="C109" s="672"/>
      <c r="D109" s="665"/>
      <c r="E109" s="666"/>
      <c r="F109" s="666"/>
      <c r="G109" s="667"/>
    </row>
    <row r="110" spans="1:7" ht="15" customHeight="1">
      <c r="A110" s="683"/>
      <c r="B110" s="673" t="s">
        <v>3</v>
      </c>
      <c r="C110" s="674"/>
      <c r="D110" s="653"/>
      <c r="E110" s="654"/>
      <c r="F110" s="654"/>
      <c r="G110" s="655"/>
    </row>
    <row r="111" spans="1:7" ht="15" customHeight="1">
      <c r="A111" s="683"/>
      <c r="B111" s="673" t="s">
        <v>4</v>
      </c>
      <c r="C111" s="674"/>
      <c r="D111" s="653"/>
      <c r="E111" s="654"/>
      <c r="F111" s="654"/>
      <c r="G111" s="655"/>
    </row>
    <row r="112" spans="1:7" ht="15" customHeight="1">
      <c r="A112" s="684"/>
      <c r="B112" s="661" t="s">
        <v>96</v>
      </c>
      <c r="C112" s="662"/>
      <c r="D112" s="656" t="s">
        <v>110</v>
      </c>
      <c r="E112" s="657"/>
      <c r="F112" s="657"/>
      <c r="G112" s="658"/>
    </row>
    <row r="113" spans="1:7" ht="15" customHeight="1">
      <c r="A113" s="41" t="s">
        <v>165</v>
      </c>
      <c r="B113" s="659">
        <v>11</v>
      </c>
      <c r="C113" s="659"/>
      <c r="D113" s="659"/>
      <c r="E113" s="659"/>
      <c r="F113" s="659"/>
      <c r="G113" s="660"/>
    </row>
    <row r="114" spans="1:7" ht="15" customHeight="1">
      <c r="A114" s="680" t="s">
        <v>0</v>
      </c>
      <c r="B114" s="663" t="s">
        <v>8</v>
      </c>
      <c r="C114" s="664"/>
      <c r="D114" s="40" t="s">
        <v>23</v>
      </c>
      <c r="E114" s="249" t="s">
        <v>514</v>
      </c>
      <c r="F114" s="250" t="str">
        <f>IF(E114="香港・マカオ以外","登録番号","")</f>
        <v/>
      </c>
      <c r="G114" s="214"/>
    </row>
    <row r="115" spans="1:7" ht="15" customHeight="1">
      <c r="A115" s="681"/>
      <c r="B115" s="651" t="s">
        <v>9</v>
      </c>
      <c r="C115" s="26" t="s">
        <v>10</v>
      </c>
      <c r="D115" s="644" t="s">
        <v>63</v>
      </c>
      <c r="E115" s="645"/>
      <c r="F115" s="645"/>
      <c r="G115" s="646"/>
    </row>
    <row r="116" spans="1:7" ht="15" customHeight="1">
      <c r="A116" s="681"/>
      <c r="B116" s="652"/>
      <c r="C116" s="26" t="s">
        <v>11</v>
      </c>
      <c r="D116" s="644" t="s">
        <v>118</v>
      </c>
      <c r="E116" s="645"/>
      <c r="F116" s="645"/>
      <c r="G116" s="646"/>
    </row>
    <row r="117" spans="1:7" ht="15" customHeight="1">
      <c r="A117" s="681"/>
      <c r="B117" s="647" t="s">
        <v>480</v>
      </c>
      <c r="C117" s="26" t="s">
        <v>10</v>
      </c>
      <c r="D117" s="644" t="s">
        <v>63</v>
      </c>
      <c r="E117" s="645"/>
      <c r="F117" s="645"/>
      <c r="G117" s="646"/>
    </row>
    <row r="118" spans="1:7" ht="15" customHeight="1">
      <c r="A118" s="681"/>
      <c r="B118" s="648"/>
      <c r="C118" s="26" t="s">
        <v>11</v>
      </c>
      <c r="D118" s="644" t="s">
        <v>118</v>
      </c>
      <c r="E118" s="645"/>
      <c r="F118" s="645"/>
      <c r="G118" s="646"/>
    </row>
    <row r="119" spans="1:7" ht="62.1" customHeight="1">
      <c r="A119" s="681"/>
      <c r="B119" s="649" t="s">
        <v>231</v>
      </c>
      <c r="C119" s="650"/>
      <c r="D119" s="668" t="s">
        <v>63</v>
      </c>
      <c r="E119" s="669"/>
      <c r="F119" s="669"/>
      <c r="G119" s="670"/>
    </row>
    <row r="120" spans="1:7" ht="15" customHeight="1">
      <c r="A120" s="682" t="s">
        <v>278</v>
      </c>
      <c r="B120" s="671" t="s">
        <v>2</v>
      </c>
      <c r="C120" s="672"/>
      <c r="D120" s="665"/>
      <c r="E120" s="666"/>
      <c r="F120" s="666"/>
      <c r="G120" s="667"/>
    </row>
    <row r="121" spans="1:7" ht="15" customHeight="1">
      <c r="A121" s="683"/>
      <c r="B121" s="673" t="s">
        <v>3</v>
      </c>
      <c r="C121" s="674"/>
      <c r="D121" s="653"/>
      <c r="E121" s="654"/>
      <c r="F121" s="654"/>
      <c r="G121" s="655"/>
    </row>
    <row r="122" spans="1:7" ht="15" customHeight="1">
      <c r="A122" s="683"/>
      <c r="B122" s="673" t="s">
        <v>4</v>
      </c>
      <c r="C122" s="674"/>
      <c r="D122" s="653"/>
      <c r="E122" s="654"/>
      <c r="F122" s="654"/>
      <c r="G122" s="655"/>
    </row>
    <row r="123" spans="1:7" ht="15" customHeight="1">
      <c r="A123" s="684"/>
      <c r="B123" s="661" t="s">
        <v>96</v>
      </c>
      <c r="C123" s="662"/>
      <c r="D123" s="656" t="s">
        <v>110</v>
      </c>
      <c r="E123" s="657"/>
      <c r="F123" s="657"/>
      <c r="G123" s="658"/>
    </row>
    <row r="124" spans="1:7" ht="15" customHeight="1">
      <c r="A124" s="41" t="s">
        <v>165</v>
      </c>
      <c r="B124" s="659">
        <v>12</v>
      </c>
      <c r="C124" s="659"/>
      <c r="D124" s="659"/>
      <c r="E124" s="659"/>
      <c r="F124" s="659"/>
      <c r="G124" s="660"/>
    </row>
    <row r="125" spans="1:7" ht="15" customHeight="1">
      <c r="A125" s="680" t="s">
        <v>0</v>
      </c>
      <c r="B125" s="663" t="s">
        <v>8</v>
      </c>
      <c r="C125" s="664"/>
      <c r="D125" s="40" t="s">
        <v>23</v>
      </c>
      <c r="E125" s="249" t="s">
        <v>514</v>
      </c>
      <c r="F125" s="250" t="str">
        <f>IF(E125="香港・マカオ以外","登録番号","")</f>
        <v/>
      </c>
      <c r="G125" s="214"/>
    </row>
    <row r="126" spans="1:7" ht="15" customHeight="1">
      <c r="A126" s="681"/>
      <c r="B126" s="651" t="s">
        <v>9</v>
      </c>
      <c r="C126" s="26" t="s">
        <v>10</v>
      </c>
      <c r="D126" s="644" t="s">
        <v>63</v>
      </c>
      <c r="E126" s="645"/>
      <c r="F126" s="645"/>
      <c r="G126" s="646"/>
    </row>
    <row r="127" spans="1:7" ht="15" customHeight="1">
      <c r="A127" s="681"/>
      <c r="B127" s="652"/>
      <c r="C127" s="26" t="s">
        <v>11</v>
      </c>
      <c r="D127" s="644" t="s">
        <v>118</v>
      </c>
      <c r="E127" s="645"/>
      <c r="F127" s="645"/>
      <c r="G127" s="646"/>
    </row>
    <row r="128" spans="1:7" ht="15" customHeight="1">
      <c r="A128" s="681"/>
      <c r="B128" s="647" t="s">
        <v>480</v>
      </c>
      <c r="C128" s="26" t="s">
        <v>10</v>
      </c>
      <c r="D128" s="644" t="s">
        <v>63</v>
      </c>
      <c r="E128" s="645"/>
      <c r="F128" s="645"/>
      <c r="G128" s="646"/>
    </row>
    <row r="129" spans="1:7" ht="15" customHeight="1">
      <c r="A129" s="681"/>
      <c r="B129" s="648"/>
      <c r="C129" s="26" t="s">
        <v>11</v>
      </c>
      <c r="D129" s="644" t="s">
        <v>118</v>
      </c>
      <c r="E129" s="645"/>
      <c r="F129" s="645"/>
      <c r="G129" s="646"/>
    </row>
    <row r="130" spans="1:7" ht="62.1" customHeight="1">
      <c r="A130" s="681"/>
      <c r="B130" s="649" t="s">
        <v>231</v>
      </c>
      <c r="C130" s="650"/>
      <c r="D130" s="668" t="s">
        <v>63</v>
      </c>
      <c r="E130" s="669"/>
      <c r="F130" s="669"/>
      <c r="G130" s="670"/>
    </row>
    <row r="131" spans="1:7" ht="15" customHeight="1">
      <c r="A131" s="682" t="s">
        <v>278</v>
      </c>
      <c r="B131" s="671" t="s">
        <v>2</v>
      </c>
      <c r="C131" s="672"/>
      <c r="D131" s="665"/>
      <c r="E131" s="666"/>
      <c r="F131" s="666"/>
      <c r="G131" s="667"/>
    </row>
    <row r="132" spans="1:7" ht="15" customHeight="1">
      <c r="A132" s="683"/>
      <c r="B132" s="673" t="s">
        <v>3</v>
      </c>
      <c r="C132" s="674"/>
      <c r="D132" s="653"/>
      <c r="E132" s="654"/>
      <c r="F132" s="654"/>
      <c r="G132" s="655"/>
    </row>
    <row r="133" spans="1:7" ht="15" customHeight="1">
      <c r="A133" s="683"/>
      <c r="B133" s="673" t="s">
        <v>4</v>
      </c>
      <c r="C133" s="674"/>
      <c r="D133" s="653"/>
      <c r="E133" s="654"/>
      <c r="F133" s="654"/>
      <c r="G133" s="655"/>
    </row>
    <row r="134" spans="1:7" ht="15" customHeight="1">
      <c r="A134" s="684"/>
      <c r="B134" s="661" t="s">
        <v>96</v>
      </c>
      <c r="C134" s="662"/>
      <c r="D134" s="656" t="s">
        <v>110</v>
      </c>
      <c r="E134" s="657"/>
      <c r="F134" s="657"/>
      <c r="G134" s="658"/>
    </row>
    <row r="135" spans="1:7" s="93" customFormat="1" ht="15" hidden="1" customHeight="1">
      <c r="A135" s="261" t="s">
        <v>165</v>
      </c>
      <c r="B135" s="635">
        <v>13</v>
      </c>
      <c r="C135" s="635"/>
      <c r="D135" s="635"/>
      <c r="E135" s="635"/>
      <c r="F135" s="635"/>
      <c r="G135" s="636"/>
    </row>
    <row r="136" spans="1:7" s="93" customFormat="1" ht="15" hidden="1" customHeight="1">
      <c r="A136" s="675" t="s">
        <v>0</v>
      </c>
      <c r="B136" s="620" t="s">
        <v>8</v>
      </c>
      <c r="C136" s="621"/>
      <c r="D136" s="262" t="s">
        <v>23</v>
      </c>
      <c r="E136" s="263" t="s">
        <v>514</v>
      </c>
      <c r="F136" s="250" t="str">
        <f>IF(E136="香港・マカオ以外","登録番号","")</f>
        <v/>
      </c>
      <c r="G136" s="264"/>
    </row>
    <row r="137" spans="1:7" s="93" customFormat="1" ht="15" hidden="1" customHeight="1">
      <c r="A137" s="676"/>
      <c r="B137" s="637" t="s">
        <v>9</v>
      </c>
      <c r="C137" s="265" t="s">
        <v>10</v>
      </c>
      <c r="D137" s="627" t="s">
        <v>63</v>
      </c>
      <c r="E137" s="628"/>
      <c r="F137" s="628"/>
      <c r="G137" s="629"/>
    </row>
    <row r="138" spans="1:7" s="93" customFormat="1" ht="15" hidden="1" customHeight="1">
      <c r="A138" s="676"/>
      <c r="B138" s="638"/>
      <c r="C138" s="265" t="s">
        <v>11</v>
      </c>
      <c r="D138" s="627" t="s">
        <v>118</v>
      </c>
      <c r="E138" s="628"/>
      <c r="F138" s="628"/>
      <c r="G138" s="629"/>
    </row>
    <row r="139" spans="1:7" s="93" customFormat="1" ht="15" hidden="1" customHeight="1">
      <c r="A139" s="676"/>
      <c r="B139" s="618" t="s">
        <v>480</v>
      </c>
      <c r="C139" s="265" t="s">
        <v>10</v>
      </c>
      <c r="D139" s="627" t="s">
        <v>63</v>
      </c>
      <c r="E139" s="628"/>
      <c r="F139" s="628"/>
      <c r="G139" s="629"/>
    </row>
    <row r="140" spans="1:7" s="93" customFormat="1" ht="15" hidden="1" customHeight="1">
      <c r="A140" s="676"/>
      <c r="B140" s="619"/>
      <c r="C140" s="265" t="s">
        <v>11</v>
      </c>
      <c r="D140" s="627" t="s">
        <v>118</v>
      </c>
      <c r="E140" s="628"/>
      <c r="F140" s="628"/>
      <c r="G140" s="629"/>
    </row>
    <row r="141" spans="1:7" s="93" customFormat="1" ht="62.1" hidden="1" customHeight="1">
      <c r="A141" s="676"/>
      <c r="B141" s="622" t="s">
        <v>231</v>
      </c>
      <c r="C141" s="623"/>
      <c r="D141" s="624" t="s">
        <v>63</v>
      </c>
      <c r="E141" s="625"/>
      <c r="F141" s="625"/>
      <c r="G141" s="626"/>
    </row>
    <row r="142" spans="1:7" s="93" customFormat="1" ht="15" hidden="1" customHeight="1">
      <c r="A142" s="685" t="s">
        <v>278</v>
      </c>
      <c r="B142" s="639" t="s">
        <v>2</v>
      </c>
      <c r="C142" s="640"/>
      <c r="D142" s="641"/>
      <c r="E142" s="642"/>
      <c r="F142" s="642"/>
      <c r="G142" s="643"/>
    </row>
    <row r="143" spans="1:7" s="93" customFormat="1" ht="15" hidden="1" customHeight="1">
      <c r="A143" s="686"/>
      <c r="B143" s="613" t="s">
        <v>3</v>
      </c>
      <c r="C143" s="614"/>
      <c r="D143" s="615"/>
      <c r="E143" s="616"/>
      <c r="F143" s="616"/>
      <c r="G143" s="617"/>
    </row>
    <row r="144" spans="1:7" s="93" customFormat="1" ht="15" hidden="1" customHeight="1">
      <c r="A144" s="686"/>
      <c r="B144" s="613" t="s">
        <v>4</v>
      </c>
      <c r="C144" s="614"/>
      <c r="D144" s="615"/>
      <c r="E144" s="616"/>
      <c r="F144" s="616"/>
      <c r="G144" s="617"/>
    </row>
    <row r="145" spans="1:7" s="93" customFormat="1" ht="15" hidden="1" customHeight="1">
      <c r="A145" s="687"/>
      <c r="B145" s="630" t="s">
        <v>96</v>
      </c>
      <c r="C145" s="631"/>
      <c r="D145" s="632" t="s">
        <v>110</v>
      </c>
      <c r="E145" s="633"/>
      <c r="F145" s="633"/>
      <c r="G145" s="634"/>
    </row>
    <row r="146" spans="1:7" s="93" customFormat="1" ht="15" hidden="1" customHeight="1">
      <c r="A146" s="261" t="s">
        <v>165</v>
      </c>
      <c r="B146" s="635">
        <v>14</v>
      </c>
      <c r="C146" s="635"/>
      <c r="D146" s="635"/>
      <c r="E146" s="635"/>
      <c r="F146" s="635"/>
      <c r="G146" s="636"/>
    </row>
    <row r="147" spans="1:7" s="93" customFormat="1" ht="15" hidden="1" customHeight="1">
      <c r="A147" s="675" t="s">
        <v>0</v>
      </c>
      <c r="B147" s="620" t="s">
        <v>8</v>
      </c>
      <c r="C147" s="621"/>
      <c r="D147" s="262" t="s">
        <v>23</v>
      </c>
      <c r="E147" s="263" t="s">
        <v>514</v>
      </c>
      <c r="F147" s="250" t="str">
        <f>IF(E147="香港・マカオ以外","登録番号","")</f>
        <v/>
      </c>
      <c r="G147" s="264"/>
    </row>
    <row r="148" spans="1:7" s="93" customFormat="1" ht="15" hidden="1" customHeight="1">
      <c r="A148" s="676"/>
      <c r="B148" s="637" t="s">
        <v>9</v>
      </c>
      <c r="C148" s="265" t="s">
        <v>10</v>
      </c>
      <c r="D148" s="627" t="s">
        <v>63</v>
      </c>
      <c r="E148" s="628"/>
      <c r="F148" s="628"/>
      <c r="G148" s="629"/>
    </row>
    <row r="149" spans="1:7" s="93" customFormat="1" ht="15" hidden="1" customHeight="1">
      <c r="A149" s="676"/>
      <c r="B149" s="638"/>
      <c r="C149" s="265" t="s">
        <v>11</v>
      </c>
      <c r="D149" s="627" t="s">
        <v>118</v>
      </c>
      <c r="E149" s="628"/>
      <c r="F149" s="628"/>
      <c r="G149" s="629"/>
    </row>
    <row r="150" spans="1:7" s="93" customFormat="1" ht="15" hidden="1" customHeight="1">
      <c r="A150" s="676"/>
      <c r="B150" s="618" t="s">
        <v>480</v>
      </c>
      <c r="C150" s="265" t="s">
        <v>10</v>
      </c>
      <c r="D150" s="627" t="s">
        <v>63</v>
      </c>
      <c r="E150" s="628"/>
      <c r="F150" s="628"/>
      <c r="G150" s="629"/>
    </row>
    <row r="151" spans="1:7" s="93" customFormat="1" ht="15" hidden="1" customHeight="1">
      <c r="A151" s="676"/>
      <c r="B151" s="619"/>
      <c r="C151" s="265" t="s">
        <v>11</v>
      </c>
      <c r="D151" s="627" t="s">
        <v>118</v>
      </c>
      <c r="E151" s="628"/>
      <c r="F151" s="628"/>
      <c r="G151" s="629"/>
    </row>
    <row r="152" spans="1:7" s="93" customFormat="1" ht="62.1" hidden="1" customHeight="1">
      <c r="A152" s="676"/>
      <c r="B152" s="622" t="s">
        <v>231</v>
      </c>
      <c r="C152" s="623"/>
      <c r="D152" s="624" t="s">
        <v>63</v>
      </c>
      <c r="E152" s="625"/>
      <c r="F152" s="625"/>
      <c r="G152" s="626"/>
    </row>
    <row r="153" spans="1:7" s="93" customFormat="1" ht="15" hidden="1" customHeight="1">
      <c r="A153" s="685" t="s">
        <v>278</v>
      </c>
      <c r="B153" s="639" t="s">
        <v>2</v>
      </c>
      <c r="C153" s="640"/>
      <c r="D153" s="641"/>
      <c r="E153" s="642"/>
      <c r="F153" s="642"/>
      <c r="G153" s="643"/>
    </row>
    <row r="154" spans="1:7" s="93" customFormat="1" ht="15" hidden="1" customHeight="1">
      <c r="A154" s="686"/>
      <c r="B154" s="613" t="s">
        <v>3</v>
      </c>
      <c r="C154" s="614"/>
      <c r="D154" s="615"/>
      <c r="E154" s="616"/>
      <c r="F154" s="616"/>
      <c r="G154" s="617"/>
    </row>
    <row r="155" spans="1:7" s="93" customFormat="1" ht="15" hidden="1" customHeight="1">
      <c r="A155" s="686"/>
      <c r="B155" s="613" t="s">
        <v>4</v>
      </c>
      <c r="C155" s="614"/>
      <c r="D155" s="615"/>
      <c r="E155" s="616"/>
      <c r="F155" s="616"/>
      <c r="G155" s="617"/>
    </row>
    <row r="156" spans="1:7" s="93" customFormat="1" ht="15" hidden="1" customHeight="1">
      <c r="A156" s="687"/>
      <c r="B156" s="630" t="s">
        <v>96</v>
      </c>
      <c r="C156" s="631"/>
      <c r="D156" s="632" t="s">
        <v>110</v>
      </c>
      <c r="E156" s="633"/>
      <c r="F156" s="633"/>
      <c r="G156" s="634"/>
    </row>
    <row r="157" spans="1:7" s="93" customFormat="1" ht="15" hidden="1" customHeight="1">
      <c r="A157" s="261" t="s">
        <v>165</v>
      </c>
      <c r="B157" s="635">
        <v>15</v>
      </c>
      <c r="C157" s="635"/>
      <c r="D157" s="635"/>
      <c r="E157" s="635"/>
      <c r="F157" s="635"/>
      <c r="G157" s="636"/>
    </row>
    <row r="158" spans="1:7" s="93" customFormat="1" ht="15" hidden="1" customHeight="1">
      <c r="A158" s="675" t="s">
        <v>0</v>
      </c>
      <c r="B158" s="620" t="s">
        <v>8</v>
      </c>
      <c r="C158" s="621"/>
      <c r="D158" s="262" t="s">
        <v>23</v>
      </c>
      <c r="E158" s="263" t="s">
        <v>514</v>
      </c>
      <c r="F158" s="250" t="str">
        <f>IF(E158="香港・マカオ以外","登録番号","")</f>
        <v/>
      </c>
      <c r="G158" s="264"/>
    </row>
    <row r="159" spans="1:7" s="93" customFormat="1" ht="15" hidden="1" customHeight="1">
      <c r="A159" s="676"/>
      <c r="B159" s="637" t="s">
        <v>9</v>
      </c>
      <c r="C159" s="265" t="s">
        <v>10</v>
      </c>
      <c r="D159" s="627" t="s">
        <v>63</v>
      </c>
      <c r="E159" s="628"/>
      <c r="F159" s="628"/>
      <c r="G159" s="629"/>
    </row>
    <row r="160" spans="1:7" s="93" customFormat="1" ht="15" hidden="1" customHeight="1">
      <c r="A160" s="676"/>
      <c r="B160" s="638"/>
      <c r="C160" s="265" t="s">
        <v>11</v>
      </c>
      <c r="D160" s="627" t="s">
        <v>118</v>
      </c>
      <c r="E160" s="628"/>
      <c r="F160" s="628"/>
      <c r="G160" s="629"/>
    </row>
    <row r="161" spans="1:7" s="93" customFormat="1" ht="15" hidden="1" customHeight="1">
      <c r="A161" s="676"/>
      <c r="B161" s="618" t="s">
        <v>480</v>
      </c>
      <c r="C161" s="265" t="s">
        <v>10</v>
      </c>
      <c r="D161" s="627" t="s">
        <v>63</v>
      </c>
      <c r="E161" s="628"/>
      <c r="F161" s="628"/>
      <c r="G161" s="629"/>
    </row>
    <row r="162" spans="1:7" s="93" customFormat="1" ht="15" hidden="1" customHeight="1">
      <c r="A162" s="676"/>
      <c r="B162" s="619"/>
      <c r="C162" s="265" t="s">
        <v>11</v>
      </c>
      <c r="D162" s="627" t="s">
        <v>118</v>
      </c>
      <c r="E162" s="628"/>
      <c r="F162" s="628"/>
      <c r="G162" s="629"/>
    </row>
    <row r="163" spans="1:7" s="93" customFormat="1" ht="62.1" hidden="1" customHeight="1">
      <c r="A163" s="676"/>
      <c r="B163" s="622" t="s">
        <v>231</v>
      </c>
      <c r="C163" s="623"/>
      <c r="D163" s="624" t="s">
        <v>63</v>
      </c>
      <c r="E163" s="625"/>
      <c r="F163" s="625"/>
      <c r="G163" s="626"/>
    </row>
    <row r="164" spans="1:7" s="93" customFormat="1" ht="15" hidden="1" customHeight="1">
      <c r="A164" s="685" t="s">
        <v>278</v>
      </c>
      <c r="B164" s="639" t="s">
        <v>2</v>
      </c>
      <c r="C164" s="640"/>
      <c r="D164" s="641"/>
      <c r="E164" s="642"/>
      <c r="F164" s="642"/>
      <c r="G164" s="643"/>
    </row>
    <row r="165" spans="1:7" s="93" customFormat="1" ht="15" hidden="1" customHeight="1">
      <c r="A165" s="686"/>
      <c r="B165" s="613" t="s">
        <v>3</v>
      </c>
      <c r="C165" s="614"/>
      <c r="D165" s="615"/>
      <c r="E165" s="616"/>
      <c r="F165" s="616"/>
      <c r="G165" s="617"/>
    </row>
    <row r="166" spans="1:7" s="93" customFormat="1" ht="15" hidden="1" customHeight="1">
      <c r="A166" s="686"/>
      <c r="B166" s="613" t="s">
        <v>4</v>
      </c>
      <c r="C166" s="614"/>
      <c r="D166" s="615"/>
      <c r="E166" s="616"/>
      <c r="F166" s="616"/>
      <c r="G166" s="617"/>
    </row>
    <row r="167" spans="1:7" s="93" customFormat="1" ht="15" hidden="1" customHeight="1">
      <c r="A167" s="687"/>
      <c r="B167" s="630" t="s">
        <v>96</v>
      </c>
      <c r="C167" s="631"/>
      <c r="D167" s="632" t="s">
        <v>110</v>
      </c>
      <c r="E167" s="633"/>
      <c r="F167" s="633"/>
      <c r="G167" s="634"/>
    </row>
    <row r="168" spans="1:7" s="93" customFormat="1" ht="15" hidden="1" customHeight="1">
      <c r="A168" s="261" t="s">
        <v>165</v>
      </c>
      <c r="B168" s="635">
        <v>16</v>
      </c>
      <c r="C168" s="635"/>
      <c r="D168" s="635"/>
      <c r="E168" s="635"/>
      <c r="F168" s="635"/>
      <c r="G168" s="636"/>
    </row>
    <row r="169" spans="1:7" s="93" customFormat="1" ht="15" hidden="1" customHeight="1">
      <c r="A169" s="675" t="s">
        <v>0</v>
      </c>
      <c r="B169" s="620" t="s">
        <v>8</v>
      </c>
      <c r="C169" s="621"/>
      <c r="D169" s="262" t="s">
        <v>23</v>
      </c>
      <c r="E169" s="263" t="s">
        <v>514</v>
      </c>
      <c r="F169" s="250" t="str">
        <f>IF(E169="香港・マカオ以外","登録番号","")</f>
        <v/>
      </c>
      <c r="G169" s="264"/>
    </row>
    <row r="170" spans="1:7" s="93" customFormat="1" ht="15" hidden="1" customHeight="1">
      <c r="A170" s="676"/>
      <c r="B170" s="637" t="s">
        <v>9</v>
      </c>
      <c r="C170" s="265" t="s">
        <v>10</v>
      </c>
      <c r="D170" s="627" t="s">
        <v>63</v>
      </c>
      <c r="E170" s="628"/>
      <c r="F170" s="628"/>
      <c r="G170" s="629"/>
    </row>
    <row r="171" spans="1:7" s="93" customFormat="1" ht="15" hidden="1" customHeight="1">
      <c r="A171" s="676"/>
      <c r="B171" s="638"/>
      <c r="C171" s="265" t="s">
        <v>11</v>
      </c>
      <c r="D171" s="627" t="s">
        <v>118</v>
      </c>
      <c r="E171" s="628"/>
      <c r="F171" s="628"/>
      <c r="G171" s="629"/>
    </row>
    <row r="172" spans="1:7" s="93" customFormat="1" ht="15" hidden="1" customHeight="1">
      <c r="A172" s="676"/>
      <c r="B172" s="618" t="s">
        <v>480</v>
      </c>
      <c r="C172" s="265" t="s">
        <v>10</v>
      </c>
      <c r="D172" s="627" t="s">
        <v>63</v>
      </c>
      <c r="E172" s="628"/>
      <c r="F172" s="628"/>
      <c r="G172" s="629"/>
    </row>
    <row r="173" spans="1:7" s="93" customFormat="1" ht="15" hidden="1" customHeight="1">
      <c r="A173" s="676"/>
      <c r="B173" s="619"/>
      <c r="C173" s="265" t="s">
        <v>11</v>
      </c>
      <c r="D173" s="627" t="s">
        <v>118</v>
      </c>
      <c r="E173" s="628"/>
      <c r="F173" s="628"/>
      <c r="G173" s="629"/>
    </row>
    <row r="174" spans="1:7" s="93" customFormat="1" ht="62.1" hidden="1" customHeight="1">
      <c r="A174" s="676"/>
      <c r="B174" s="622" t="s">
        <v>231</v>
      </c>
      <c r="C174" s="623"/>
      <c r="D174" s="624" t="s">
        <v>63</v>
      </c>
      <c r="E174" s="625"/>
      <c r="F174" s="625"/>
      <c r="G174" s="626"/>
    </row>
    <row r="175" spans="1:7" s="93" customFormat="1" ht="15" hidden="1" customHeight="1">
      <c r="A175" s="685" t="s">
        <v>278</v>
      </c>
      <c r="B175" s="639" t="s">
        <v>2</v>
      </c>
      <c r="C175" s="640"/>
      <c r="D175" s="641"/>
      <c r="E175" s="642"/>
      <c r="F175" s="642"/>
      <c r="G175" s="643"/>
    </row>
    <row r="176" spans="1:7" s="93" customFormat="1" ht="15" hidden="1" customHeight="1">
      <c r="A176" s="686"/>
      <c r="B176" s="613" t="s">
        <v>3</v>
      </c>
      <c r="C176" s="614"/>
      <c r="D176" s="615"/>
      <c r="E176" s="616"/>
      <c r="F176" s="616"/>
      <c r="G176" s="617"/>
    </row>
    <row r="177" spans="1:7" s="93" customFormat="1" ht="15" hidden="1" customHeight="1">
      <c r="A177" s="686"/>
      <c r="B177" s="613" t="s">
        <v>4</v>
      </c>
      <c r="C177" s="614"/>
      <c r="D177" s="615"/>
      <c r="E177" s="616"/>
      <c r="F177" s="616"/>
      <c r="G177" s="617"/>
    </row>
    <row r="178" spans="1:7" s="93" customFormat="1" ht="15" hidden="1" customHeight="1">
      <c r="A178" s="687"/>
      <c r="B178" s="630" t="s">
        <v>96</v>
      </c>
      <c r="C178" s="631"/>
      <c r="D178" s="632" t="s">
        <v>110</v>
      </c>
      <c r="E178" s="633"/>
      <c r="F178" s="633"/>
      <c r="G178" s="634"/>
    </row>
    <row r="179" spans="1:7" s="93" customFormat="1" ht="15" hidden="1" customHeight="1">
      <c r="A179" s="261" t="s">
        <v>165</v>
      </c>
      <c r="B179" s="635">
        <v>17</v>
      </c>
      <c r="C179" s="635"/>
      <c r="D179" s="635"/>
      <c r="E179" s="635"/>
      <c r="F179" s="635"/>
      <c r="G179" s="636"/>
    </row>
    <row r="180" spans="1:7" s="93" customFormat="1" ht="15" hidden="1" customHeight="1">
      <c r="A180" s="675" t="s">
        <v>0</v>
      </c>
      <c r="B180" s="620" t="s">
        <v>8</v>
      </c>
      <c r="C180" s="621"/>
      <c r="D180" s="262" t="s">
        <v>23</v>
      </c>
      <c r="E180" s="263" t="s">
        <v>514</v>
      </c>
      <c r="F180" s="250" t="str">
        <f>IF(E180="香港・マカオ以外","登録番号","")</f>
        <v/>
      </c>
      <c r="G180" s="264"/>
    </row>
    <row r="181" spans="1:7" s="93" customFormat="1" ht="15" hidden="1" customHeight="1">
      <c r="A181" s="676"/>
      <c r="B181" s="637" t="s">
        <v>9</v>
      </c>
      <c r="C181" s="265" t="s">
        <v>10</v>
      </c>
      <c r="D181" s="627" t="s">
        <v>63</v>
      </c>
      <c r="E181" s="628"/>
      <c r="F181" s="628"/>
      <c r="G181" s="629"/>
    </row>
    <row r="182" spans="1:7" s="93" customFormat="1" ht="15" hidden="1" customHeight="1">
      <c r="A182" s="676"/>
      <c r="B182" s="638"/>
      <c r="C182" s="265" t="s">
        <v>11</v>
      </c>
      <c r="D182" s="627" t="s">
        <v>118</v>
      </c>
      <c r="E182" s="628"/>
      <c r="F182" s="628"/>
      <c r="G182" s="629"/>
    </row>
    <row r="183" spans="1:7" s="93" customFormat="1" ht="15" hidden="1" customHeight="1">
      <c r="A183" s="676"/>
      <c r="B183" s="618" t="s">
        <v>480</v>
      </c>
      <c r="C183" s="265" t="s">
        <v>10</v>
      </c>
      <c r="D183" s="627" t="s">
        <v>63</v>
      </c>
      <c r="E183" s="628"/>
      <c r="F183" s="628"/>
      <c r="G183" s="629"/>
    </row>
    <row r="184" spans="1:7" s="93" customFormat="1" ht="15" hidden="1" customHeight="1">
      <c r="A184" s="676"/>
      <c r="B184" s="619"/>
      <c r="C184" s="265" t="s">
        <v>11</v>
      </c>
      <c r="D184" s="627" t="s">
        <v>118</v>
      </c>
      <c r="E184" s="628"/>
      <c r="F184" s="628"/>
      <c r="G184" s="629"/>
    </row>
    <row r="185" spans="1:7" s="93" customFormat="1" ht="62.1" hidden="1" customHeight="1">
      <c r="A185" s="676"/>
      <c r="B185" s="622" t="s">
        <v>231</v>
      </c>
      <c r="C185" s="623"/>
      <c r="D185" s="624" t="s">
        <v>63</v>
      </c>
      <c r="E185" s="625"/>
      <c r="F185" s="625"/>
      <c r="G185" s="626"/>
    </row>
    <row r="186" spans="1:7" s="93" customFormat="1" ht="15" hidden="1" customHeight="1">
      <c r="A186" s="685" t="s">
        <v>278</v>
      </c>
      <c r="B186" s="639" t="s">
        <v>2</v>
      </c>
      <c r="C186" s="640"/>
      <c r="D186" s="641"/>
      <c r="E186" s="642"/>
      <c r="F186" s="642"/>
      <c r="G186" s="643"/>
    </row>
    <row r="187" spans="1:7" s="93" customFormat="1" ht="15" hidden="1" customHeight="1">
      <c r="A187" s="686"/>
      <c r="B187" s="613" t="s">
        <v>3</v>
      </c>
      <c r="C187" s="614"/>
      <c r="D187" s="615"/>
      <c r="E187" s="616"/>
      <c r="F187" s="616"/>
      <c r="G187" s="617"/>
    </row>
    <row r="188" spans="1:7" s="93" customFormat="1" ht="15" hidden="1" customHeight="1">
      <c r="A188" s="686"/>
      <c r="B188" s="613" t="s">
        <v>4</v>
      </c>
      <c r="C188" s="614"/>
      <c r="D188" s="615"/>
      <c r="E188" s="616"/>
      <c r="F188" s="616"/>
      <c r="G188" s="617"/>
    </row>
    <row r="189" spans="1:7" s="93" customFormat="1" ht="15" hidden="1" customHeight="1">
      <c r="A189" s="687"/>
      <c r="B189" s="630" t="s">
        <v>96</v>
      </c>
      <c r="C189" s="631"/>
      <c r="D189" s="632" t="s">
        <v>110</v>
      </c>
      <c r="E189" s="633"/>
      <c r="F189" s="633"/>
      <c r="G189" s="634"/>
    </row>
    <row r="190" spans="1:7" s="93" customFormat="1" ht="15" hidden="1" customHeight="1">
      <c r="A190" s="261" t="s">
        <v>165</v>
      </c>
      <c r="B190" s="635">
        <v>18</v>
      </c>
      <c r="C190" s="635"/>
      <c r="D190" s="635"/>
      <c r="E190" s="635"/>
      <c r="F190" s="635"/>
      <c r="G190" s="636"/>
    </row>
    <row r="191" spans="1:7" s="93" customFormat="1" ht="15" hidden="1" customHeight="1">
      <c r="A191" s="675" t="s">
        <v>0</v>
      </c>
      <c r="B191" s="620" t="s">
        <v>8</v>
      </c>
      <c r="C191" s="621"/>
      <c r="D191" s="262" t="s">
        <v>23</v>
      </c>
      <c r="E191" s="263" t="s">
        <v>514</v>
      </c>
      <c r="F191" s="250" t="str">
        <f>IF(E191="香港・マカオ以外","登録番号","")</f>
        <v/>
      </c>
      <c r="G191" s="264"/>
    </row>
    <row r="192" spans="1:7" s="93" customFormat="1" ht="15" hidden="1" customHeight="1">
      <c r="A192" s="676"/>
      <c r="B192" s="637" t="s">
        <v>9</v>
      </c>
      <c r="C192" s="265" t="s">
        <v>10</v>
      </c>
      <c r="D192" s="627" t="s">
        <v>63</v>
      </c>
      <c r="E192" s="628"/>
      <c r="F192" s="628"/>
      <c r="G192" s="629"/>
    </row>
    <row r="193" spans="1:7" s="93" customFormat="1" ht="15" hidden="1" customHeight="1">
      <c r="A193" s="676"/>
      <c r="B193" s="638"/>
      <c r="C193" s="265" t="s">
        <v>11</v>
      </c>
      <c r="D193" s="627" t="s">
        <v>118</v>
      </c>
      <c r="E193" s="628"/>
      <c r="F193" s="628"/>
      <c r="G193" s="629"/>
    </row>
    <row r="194" spans="1:7" s="93" customFormat="1" ht="15" hidden="1" customHeight="1">
      <c r="A194" s="676"/>
      <c r="B194" s="618" t="s">
        <v>480</v>
      </c>
      <c r="C194" s="265" t="s">
        <v>10</v>
      </c>
      <c r="D194" s="627" t="s">
        <v>63</v>
      </c>
      <c r="E194" s="628"/>
      <c r="F194" s="628"/>
      <c r="G194" s="629"/>
    </row>
    <row r="195" spans="1:7" s="93" customFormat="1" ht="15" hidden="1" customHeight="1">
      <c r="A195" s="676"/>
      <c r="B195" s="619"/>
      <c r="C195" s="265" t="s">
        <v>11</v>
      </c>
      <c r="D195" s="627" t="s">
        <v>118</v>
      </c>
      <c r="E195" s="628"/>
      <c r="F195" s="628"/>
      <c r="G195" s="629"/>
    </row>
    <row r="196" spans="1:7" s="93" customFormat="1" ht="62.1" hidden="1" customHeight="1">
      <c r="A196" s="676"/>
      <c r="B196" s="622" t="s">
        <v>231</v>
      </c>
      <c r="C196" s="623"/>
      <c r="D196" s="624" t="s">
        <v>63</v>
      </c>
      <c r="E196" s="625"/>
      <c r="F196" s="625"/>
      <c r="G196" s="626"/>
    </row>
    <row r="197" spans="1:7" s="93" customFormat="1" ht="15" hidden="1" customHeight="1">
      <c r="A197" s="685" t="s">
        <v>278</v>
      </c>
      <c r="B197" s="639" t="s">
        <v>2</v>
      </c>
      <c r="C197" s="640"/>
      <c r="D197" s="641"/>
      <c r="E197" s="642"/>
      <c r="F197" s="642"/>
      <c r="G197" s="643"/>
    </row>
    <row r="198" spans="1:7" s="93" customFormat="1" ht="15" hidden="1" customHeight="1">
      <c r="A198" s="686"/>
      <c r="B198" s="613" t="s">
        <v>3</v>
      </c>
      <c r="C198" s="614"/>
      <c r="D198" s="615"/>
      <c r="E198" s="616"/>
      <c r="F198" s="616"/>
      <c r="G198" s="617"/>
    </row>
    <row r="199" spans="1:7" s="93" customFormat="1" ht="15" hidden="1" customHeight="1">
      <c r="A199" s="686"/>
      <c r="B199" s="613" t="s">
        <v>4</v>
      </c>
      <c r="C199" s="614"/>
      <c r="D199" s="615"/>
      <c r="E199" s="616"/>
      <c r="F199" s="616"/>
      <c r="G199" s="617"/>
    </row>
    <row r="200" spans="1:7" s="93" customFormat="1" ht="15" hidden="1" customHeight="1">
      <c r="A200" s="687"/>
      <c r="B200" s="630" t="s">
        <v>96</v>
      </c>
      <c r="C200" s="631"/>
      <c r="D200" s="632" t="s">
        <v>110</v>
      </c>
      <c r="E200" s="633"/>
      <c r="F200" s="633"/>
      <c r="G200" s="634"/>
    </row>
    <row r="201" spans="1:7" s="93" customFormat="1" ht="15" hidden="1" customHeight="1">
      <c r="A201" s="261" t="s">
        <v>165</v>
      </c>
      <c r="B201" s="635">
        <v>19</v>
      </c>
      <c r="C201" s="635"/>
      <c r="D201" s="635"/>
      <c r="E201" s="635"/>
      <c r="F201" s="635"/>
      <c r="G201" s="636"/>
    </row>
    <row r="202" spans="1:7" s="93" customFormat="1" ht="15" hidden="1" customHeight="1">
      <c r="A202" s="675" t="s">
        <v>0</v>
      </c>
      <c r="B202" s="620" t="s">
        <v>8</v>
      </c>
      <c r="C202" s="621"/>
      <c r="D202" s="262" t="s">
        <v>23</v>
      </c>
      <c r="E202" s="263" t="s">
        <v>514</v>
      </c>
      <c r="F202" s="250" t="str">
        <f>IF(E202="香港・マカオ以外","登録番号","")</f>
        <v/>
      </c>
      <c r="G202" s="264"/>
    </row>
    <row r="203" spans="1:7" s="93" customFormat="1" ht="15" hidden="1" customHeight="1">
      <c r="A203" s="676"/>
      <c r="B203" s="637" t="s">
        <v>9</v>
      </c>
      <c r="C203" s="265" t="s">
        <v>10</v>
      </c>
      <c r="D203" s="627" t="s">
        <v>63</v>
      </c>
      <c r="E203" s="628"/>
      <c r="F203" s="628"/>
      <c r="G203" s="629"/>
    </row>
    <row r="204" spans="1:7" s="93" customFormat="1" ht="15" hidden="1" customHeight="1">
      <c r="A204" s="676"/>
      <c r="B204" s="638"/>
      <c r="C204" s="265" t="s">
        <v>11</v>
      </c>
      <c r="D204" s="627" t="s">
        <v>118</v>
      </c>
      <c r="E204" s="628"/>
      <c r="F204" s="628"/>
      <c r="G204" s="629"/>
    </row>
    <row r="205" spans="1:7" s="93" customFormat="1" ht="15" hidden="1" customHeight="1">
      <c r="A205" s="676"/>
      <c r="B205" s="618" t="s">
        <v>480</v>
      </c>
      <c r="C205" s="265" t="s">
        <v>10</v>
      </c>
      <c r="D205" s="627" t="s">
        <v>63</v>
      </c>
      <c r="E205" s="628"/>
      <c r="F205" s="628"/>
      <c r="G205" s="629"/>
    </row>
    <row r="206" spans="1:7" s="93" customFormat="1" ht="15" hidden="1" customHeight="1">
      <c r="A206" s="676"/>
      <c r="B206" s="619"/>
      <c r="C206" s="265" t="s">
        <v>11</v>
      </c>
      <c r="D206" s="627" t="s">
        <v>118</v>
      </c>
      <c r="E206" s="628"/>
      <c r="F206" s="628"/>
      <c r="G206" s="629"/>
    </row>
    <row r="207" spans="1:7" s="93" customFormat="1" ht="62.1" hidden="1" customHeight="1">
      <c r="A207" s="676"/>
      <c r="B207" s="622" t="s">
        <v>231</v>
      </c>
      <c r="C207" s="623"/>
      <c r="D207" s="624" t="s">
        <v>63</v>
      </c>
      <c r="E207" s="625"/>
      <c r="F207" s="625"/>
      <c r="G207" s="626"/>
    </row>
    <row r="208" spans="1:7" s="93" customFormat="1" ht="15" hidden="1" customHeight="1">
      <c r="A208" s="685" t="s">
        <v>278</v>
      </c>
      <c r="B208" s="639" t="s">
        <v>2</v>
      </c>
      <c r="C208" s="640"/>
      <c r="D208" s="641"/>
      <c r="E208" s="642"/>
      <c r="F208" s="642"/>
      <c r="G208" s="643"/>
    </row>
    <row r="209" spans="1:7" s="93" customFormat="1" ht="15" hidden="1" customHeight="1">
      <c r="A209" s="686"/>
      <c r="B209" s="613" t="s">
        <v>3</v>
      </c>
      <c r="C209" s="614"/>
      <c r="D209" s="615"/>
      <c r="E209" s="616"/>
      <c r="F209" s="616"/>
      <c r="G209" s="617"/>
    </row>
    <row r="210" spans="1:7" s="93" customFormat="1" ht="15" hidden="1" customHeight="1">
      <c r="A210" s="686"/>
      <c r="B210" s="613" t="s">
        <v>4</v>
      </c>
      <c r="C210" s="614"/>
      <c r="D210" s="615"/>
      <c r="E210" s="616"/>
      <c r="F210" s="616"/>
      <c r="G210" s="617"/>
    </row>
    <row r="211" spans="1:7" s="93" customFormat="1" ht="15" hidden="1" customHeight="1">
      <c r="A211" s="687"/>
      <c r="B211" s="630" t="s">
        <v>96</v>
      </c>
      <c r="C211" s="631"/>
      <c r="D211" s="632" t="s">
        <v>110</v>
      </c>
      <c r="E211" s="633"/>
      <c r="F211" s="633"/>
      <c r="G211" s="634"/>
    </row>
    <row r="212" spans="1:7" s="93" customFormat="1" ht="15" hidden="1" customHeight="1">
      <c r="A212" s="261" t="s">
        <v>165</v>
      </c>
      <c r="B212" s="635">
        <v>20</v>
      </c>
      <c r="C212" s="635"/>
      <c r="D212" s="635"/>
      <c r="E212" s="635"/>
      <c r="F212" s="635"/>
      <c r="G212" s="636"/>
    </row>
    <row r="213" spans="1:7" s="93" customFormat="1" ht="15" hidden="1" customHeight="1">
      <c r="A213" s="675" t="s">
        <v>0</v>
      </c>
      <c r="B213" s="620" t="s">
        <v>8</v>
      </c>
      <c r="C213" s="621"/>
      <c r="D213" s="262" t="s">
        <v>23</v>
      </c>
      <c r="E213" s="263" t="s">
        <v>514</v>
      </c>
      <c r="F213" s="250" t="str">
        <f>IF(E213="香港・マカオ以外","登録番号","")</f>
        <v/>
      </c>
      <c r="G213" s="264"/>
    </row>
    <row r="214" spans="1:7" s="93" customFormat="1" ht="15" hidden="1" customHeight="1">
      <c r="A214" s="676"/>
      <c r="B214" s="637" t="s">
        <v>9</v>
      </c>
      <c r="C214" s="265" t="s">
        <v>10</v>
      </c>
      <c r="D214" s="627" t="s">
        <v>63</v>
      </c>
      <c r="E214" s="628"/>
      <c r="F214" s="628"/>
      <c r="G214" s="629"/>
    </row>
    <row r="215" spans="1:7" s="93" customFormat="1" ht="15" hidden="1" customHeight="1">
      <c r="A215" s="676"/>
      <c r="B215" s="638"/>
      <c r="C215" s="265" t="s">
        <v>11</v>
      </c>
      <c r="D215" s="627" t="s">
        <v>118</v>
      </c>
      <c r="E215" s="628"/>
      <c r="F215" s="628"/>
      <c r="G215" s="629"/>
    </row>
    <row r="216" spans="1:7" s="93" customFormat="1" ht="15" hidden="1" customHeight="1">
      <c r="A216" s="676"/>
      <c r="B216" s="618" t="s">
        <v>480</v>
      </c>
      <c r="C216" s="265" t="s">
        <v>10</v>
      </c>
      <c r="D216" s="627" t="s">
        <v>63</v>
      </c>
      <c r="E216" s="628"/>
      <c r="F216" s="628"/>
      <c r="G216" s="629"/>
    </row>
    <row r="217" spans="1:7" s="93" customFormat="1" ht="15" hidden="1" customHeight="1">
      <c r="A217" s="676"/>
      <c r="B217" s="619"/>
      <c r="C217" s="265" t="s">
        <v>11</v>
      </c>
      <c r="D217" s="627" t="s">
        <v>118</v>
      </c>
      <c r="E217" s="628"/>
      <c r="F217" s="628"/>
      <c r="G217" s="629"/>
    </row>
    <row r="218" spans="1:7" s="93" customFormat="1" ht="62.1" hidden="1" customHeight="1">
      <c r="A218" s="676"/>
      <c r="B218" s="622" t="s">
        <v>231</v>
      </c>
      <c r="C218" s="623"/>
      <c r="D218" s="624" t="s">
        <v>63</v>
      </c>
      <c r="E218" s="625"/>
      <c r="F218" s="625"/>
      <c r="G218" s="626"/>
    </row>
    <row r="219" spans="1:7" s="93" customFormat="1" ht="15" hidden="1" customHeight="1">
      <c r="A219" s="685" t="s">
        <v>278</v>
      </c>
      <c r="B219" s="639" t="s">
        <v>2</v>
      </c>
      <c r="C219" s="640"/>
      <c r="D219" s="641"/>
      <c r="E219" s="642"/>
      <c r="F219" s="642"/>
      <c r="G219" s="643"/>
    </row>
    <row r="220" spans="1:7" s="93" customFormat="1" ht="15" hidden="1" customHeight="1">
      <c r="A220" s="686"/>
      <c r="B220" s="613" t="s">
        <v>3</v>
      </c>
      <c r="C220" s="614"/>
      <c r="D220" s="615"/>
      <c r="E220" s="616"/>
      <c r="F220" s="616"/>
      <c r="G220" s="617"/>
    </row>
    <row r="221" spans="1:7" s="93" customFormat="1" ht="15" hidden="1" customHeight="1">
      <c r="A221" s="686"/>
      <c r="B221" s="613" t="s">
        <v>4</v>
      </c>
      <c r="C221" s="614"/>
      <c r="D221" s="615"/>
      <c r="E221" s="616"/>
      <c r="F221" s="616"/>
      <c r="G221" s="617"/>
    </row>
    <row r="222" spans="1:7" s="93" customFormat="1" ht="15" hidden="1" customHeight="1">
      <c r="A222" s="687"/>
      <c r="B222" s="630" t="s">
        <v>96</v>
      </c>
      <c r="C222" s="631"/>
      <c r="D222" s="632" t="s">
        <v>110</v>
      </c>
      <c r="E222" s="633"/>
      <c r="F222" s="633"/>
      <c r="G222" s="634"/>
    </row>
    <row r="223" spans="1:7" s="93" customFormat="1" ht="15" hidden="1" customHeight="1">
      <c r="A223" s="261" t="s">
        <v>165</v>
      </c>
      <c r="B223" s="635">
        <v>21</v>
      </c>
      <c r="C223" s="635"/>
      <c r="D223" s="635"/>
      <c r="E223" s="635"/>
      <c r="F223" s="635"/>
      <c r="G223" s="636"/>
    </row>
    <row r="224" spans="1:7" s="93" customFormat="1" ht="15" hidden="1" customHeight="1">
      <c r="A224" s="675" t="s">
        <v>0</v>
      </c>
      <c r="B224" s="620" t="s">
        <v>8</v>
      </c>
      <c r="C224" s="621"/>
      <c r="D224" s="262" t="s">
        <v>23</v>
      </c>
      <c r="E224" s="263" t="s">
        <v>514</v>
      </c>
      <c r="F224" s="250" t="str">
        <f>IF(E224="香港・マカオ以外","登録番号","")</f>
        <v/>
      </c>
      <c r="G224" s="264"/>
    </row>
    <row r="225" spans="1:7" s="93" customFormat="1" ht="15" hidden="1" customHeight="1">
      <c r="A225" s="676"/>
      <c r="B225" s="637" t="s">
        <v>9</v>
      </c>
      <c r="C225" s="265" t="s">
        <v>10</v>
      </c>
      <c r="D225" s="627" t="s">
        <v>63</v>
      </c>
      <c r="E225" s="628"/>
      <c r="F225" s="628"/>
      <c r="G225" s="629"/>
    </row>
    <row r="226" spans="1:7" s="93" customFormat="1" ht="15" hidden="1" customHeight="1">
      <c r="A226" s="676"/>
      <c r="B226" s="638"/>
      <c r="C226" s="265" t="s">
        <v>11</v>
      </c>
      <c r="D226" s="627" t="s">
        <v>118</v>
      </c>
      <c r="E226" s="628"/>
      <c r="F226" s="628"/>
      <c r="G226" s="629"/>
    </row>
    <row r="227" spans="1:7" s="93" customFormat="1" ht="15" hidden="1" customHeight="1">
      <c r="A227" s="676"/>
      <c r="B227" s="618" t="s">
        <v>480</v>
      </c>
      <c r="C227" s="265" t="s">
        <v>10</v>
      </c>
      <c r="D227" s="627" t="s">
        <v>63</v>
      </c>
      <c r="E227" s="628"/>
      <c r="F227" s="628"/>
      <c r="G227" s="629"/>
    </row>
    <row r="228" spans="1:7" s="93" customFormat="1" ht="15" hidden="1" customHeight="1">
      <c r="A228" s="676"/>
      <c r="B228" s="619"/>
      <c r="C228" s="265" t="s">
        <v>11</v>
      </c>
      <c r="D228" s="627" t="s">
        <v>118</v>
      </c>
      <c r="E228" s="628"/>
      <c r="F228" s="628"/>
      <c r="G228" s="629"/>
    </row>
    <row r="229" spans="1:7" s="93" customFormat="1" ht="62.1" hidden="1" customHeight="1">
      <c r="A229" s="676"/>
      <c r="B229" s="622" t="s">
        <v>231</v>
      </c>
      <c r="C229" s="623"/>
      <c r="D229" s="624" t="s">
        <v>63</v>
      </c>
      <c r="E229" s="625"/>
      <c r="F229" s="625"/>
      <c r="G229" s="626"/>
    </row>
    <row r="230" spans="1:7" s="93" customFormat="1" ht="15" hidden="1" customHeight="1">
      <c r="A230" s="685" t="s">
        <v>278</v>
      </c>
      <c r="B230" s="639" t="s">
        <v>2</v>
      </c>
      <c r="C230" s="640"/>
      <c r="D230" s="641"/>
      <c r="E230" s="642"/>
      <c r="F230" s="642"/>
      <c r="G230" s="643"/>
    </row>
    <row r="231" spans="1:7" s="93" customFormat="1" ht="15" hidden="1" customHeight="1">
      <c r="A231" s="686"/>
      <c r="B231" s="613" t="s">
        <v>3</v>
      </c>
      <c r="C231" s="614"/>
      <c r="D231" s="615"/>
      <c r="E231" s="616"/>
      <c r="F231" s="616"/>
      <c r="G231" s="617"/>
    </row>
    <row r="232" spans="1:7" s="93" customFormat="1" ht="15" hidden="1" customHeight="1">
      <c r="A232" s="686"/>
      <c r="B232" s="613" t="s">
        <v>4</v>
      </c>
      <c r="C232" s="614"/>
      <c r="D232" s="615"/>
      <c r="E232" s="616"/>
      <c r="F232" s="616"/>
      <c r="G232" s="617"/>
    </row>
    <row r="233" spans="1:7" s="93" customFormat="1" ht="15" hidden="1" customHeight="1">
      <c r="A233" s="687"/>
      <c r="B233" s="630" t="s">
        <v>96</v>
      </c>
      <c r="C233" s="631"/>
      <c r="D233" s="632" t="s">
        <v>110</v>
      </c>
      <c r="E233" s="633"/>
      <c r="F233" s="633"/>
      <c r="G233" s="634"/>
    </row>
    <row r="234" spans="1:7" s="93" customFormat="1" ht="15" hidden="1" customHeight="1">
      <c r="A234" s="261" t="s">
        <v>165</v>
      </c>
      <c r="B234" s="635">
        <v>22</v>
      </c>
      <c r="C234" s="635"/>
      <c r="D234" s="635"/>
      <c r="E234" s="635"/>
      <c r="F234" s="635"/>
      <c r="G234" s="636"/>
    </row>
    <row r="235" spans="1:7" s="93" customFormat="1" ht="15" hidden="1" customHeight="1">
      <c r="A235" s="675" t="s">
        <v>0</v>
      </c>
      <c r="B235" s="620" t="s">
        <v>8</v>
      </c>
      <c r="C235" s="621"/>
      <c r="D235" s="262" t="s">
        <v>23</v>
      </c>
      <c r="E235" s="263" t="s">
        <v>514</v>
      </c>
      <c r="F235" s="250" t="str">
        <f>IF(E235="香港・マカオ以外","登録番号","")</f>
        <v/>
      </c>
      <c r="G235" s="264"/>
    </row>
    <row r="236" spans="1:7" s="93" customFormat="1" ht="15" hidden="1" customHeight="1">
      <c r="A236" s="676"/>
      <c r="B236" s="637" t="s">
        <v>9</v>
      </c>
      <c r="C236" s="265" t="s">
        <v>10</v>
      </c>
      <c r="D236" s="627" t="s">
        <v>63</v>
      </c>
      <c r="E236" s="628"/>
      <c r="F236" s="628"/>
      <c r="G236" s="629"/>
    </row>
    <row r="237" spans="1:7" s="93" customFormat="1" ht="15" hidden="1" customHeight="1">
      <c r="A237" s="676"/>
      <c r="B237" s="638"/>
      <c r="C237" s="265" t="s">
        <v>11</v>
      </c>
      <c r="D237" s="627" t="s">
        <v>118</v>
      </c>
      <c r="E237" s="628"/>
      <c r="F237" s="628"/>
      <c r="G237" s="629"/>
    </row>
    <row r="238" spans="1:7" s="93" customFormat="1" ht="15" hidden="1" customHeight="1">
      <c r="A238" s="676"/>
      <c r="B238" s="618" t="s">
        <v>480</v>
      </c>
      <c r="C238" s="265" t="s">
        <v>10</v>
      </c>
      <c r="D238" s="627" t="s">
        <v>63</v>
      </c>
      <c r="E238" s="628"/>
      <c r="F238" s="628"/>
      <c r="G238" s="629"/>
    </row>
    <row r="239" spans="1:7" s="93" customFormat="1" ht="15" hidden="1" customHeight="1">
      <c r="A239" s="676"/>
      <c r="B239" s="619"/>
      <c r="C239" s="265" t="s">
        <v>11</v>
      </c>
      <c r="D239" s="627" t="s">
        <v>118</v>
      </c>
      <c r="E239" s="628"/>
      <c r="F239" s="628"/>
      <c r="G239" s="629"/>
    </row>
    <row r="240" spans="1:7" s="93" customFormat="1" ht="62.1" hidden="1" customHeight="1">
      <c r="A240" s="676"/>
      <c r="B240" s="622" t="s">
        <v>231</v>
      </c>
      <c r="C240" s="623"/>
      <c r="D240" s="624" t="s">
        <v>63</v>
      </c>
      <c r="E240" s="625"/>
      <c r="F240" s="625"/>
      <c r="G240" s="626"/>
    </row>
    <row r="241" spans="1:7" s="93" customFormat="1" ht="15" hidden="1" customHeight="1">
      <c r="A241" s="685" t="s">
        <v>278</v>
      </c>
      <c r="B241" s="639" t="s">
        <v>2</v>
      </c>
      <c r="C241" s="640"/>
      <c r="D241" s="641"/>
      <c r="E241" s="642"/>
      <c r="F241" s="642"/>
      <c r="G241" s="643"/>
    </row>
    <row r="242" spans="1:7" s="93" customFormat="1" ht="15" hidden="1" customHeight="1">
      <c r="A242" s="686"/>
      <c r="B242" s="613" t="s">
        <v>3</v>
      </c>
      <c r="C242" s="614"/>
      <c r="D242" s="615"/>
      <c r="E242" s="616"/>
      <c r="F242" s="616"/>
      <c r="G242" s="617"/>
    </row>
    <row r="243" spans="1:7" s="93" customFormat="1" ht="15" hidden="1" customHeight="1">
      <c r="A243" s="686"/>
      <c r="B243" s="613" t="s">
        <v>4</v>
      </c>
      <c r="C243" s="614"/>
      <c r="D243" s="615"/>
      <c r="E243" s="616"/>
      <c r="F243" s="616"/>
      <c r="G243" s="617"/>
    </row>
    <row r="244" spans="1:7" s="93" customFormat="1" ht="15" hidden="1" customHeight="1">
      <c r="A244" s="687"/>
      <c r="B244" s="630" t="s">
        <v>96</v>
      </c>
      <c r="C244" s="631"/>
      <c r="D244" s="632" t="s">
        <v>110</v>
      </c>
      <c r="E244" s="633"/>
      <c r="F244" s="633"/>
      <c r="G244" s="634"/>
    </row>
    <row r="245" spans="1:7" s="93" customFormat="1" ht="15" hidden="1" customHeight="1">
      <c r="A245" s="261" t="s">
        <v>165</v>
      </c>
      <c r="B245" s="635">
        <v>23</v>
      </c>
      <c r="C245" s="635"/>
      <c r="D245" s="635"/>
      <c r="E245" s="635"/>
      <c r="F245" s="635"/>
      <c r="G245" s="636"/>
    </row>
    <row r="246" spans="1:7" s="93" customFormat="1" ht="15" hidden="1" customHeight="1">
      <c r="A246" s="675" t="s">
        <v>0</v>
      </c>
      <c r="B246" s="620" t="s">
        <v>8</v>
      </c>
      <c r="C246" s="621"/>
      <c r="D246" s="262" t="s">
        <v>23</v>
      </c>
      <c r="E246" s="263" t="s">
        <v>514</v>
      </c>
      <c r="F246" s="250" t="str">
        <f>IF(E246="香港・マカオ以外","登録番号","")</f>
        <v/>
      </c>
      <c r="G246" s="264"/>
    </row>
    <row r="247" spans="1:7" s="93" customFormat="1" ht="15" hidden="1" customHeight="1">
      <c r="A247" s="676"/>
      <c r="B247" s="637" t="s">
        <v>9</v>
      </c>
      <c r="C247" s="265" t="s">
        <v>10</v>
      </c>
      <c r="D247" s="627" t="s">
        <v>63</v>
      </c>
      <c r="E247" s="628"/>
      <c r="F247" s="628"/>
      <c r="G247" s="629"/>
    </row>
    <row r="248" spans="1:7" s="93" customFormat="1" ht="15" hidden="1" customHeight="1">
      <c r="A248" s="676"/>
      <c r="B248" s="638"/>
      <c r="C248" s="265" t="s">
        <v>11</v>
      </c>
      <c r="D248" s="627" t="s">
        <v>118</v>
      </c>
      <c r="E248" s="628"/>
      <c r="F248" s="628"/>
      <c r="G248" s="629"/>
    </row>
    <row r="249" spans="1:7" s="93" customFormat="1" ht="15" hidden="1" customHeight="1">
      <c r="A249" s="676"/>
      <c r="B249" s="618" t="s">
        <v>480</v>
      </c>
      <c r="C249" s="265" t="s">
        <v>10</v>
      </c>
      <c r="D249" s="627" t="s">
        <v>63</v>
      </c>
      <c r="E249" s="628"/>
      <c r="F249" s="628"/>
      <c r="G249" s="629"/>
    </row>
    <row r="250" spans="1:7" s="93" customFormat="1" ht="15" hidden="1" customHeight="1">
      <c r="A250" s="676"/>
      <c r="B250" s="619"/>
      <c r="C250" s="265" t="s">
        <v>11</v>
      </c>
      <c r="D250" s="627" t="s">
        <v>118</v>
      </c>
      <c r="E250" s="628"/>
      <c r="F250" s="628"/>
      <c r="G250" s="629"/>
    </row>
    <row r="251" spans="1:7" s="93" customFormat="1" ht="62.1" hidden="1" customHeight="1">
      <c r="A251" s="676"/>
      <c r="B251" s="622" t="s">
        <v>231</v>
      </c>
      <c r="C251" s="623"/>
      <c r="D251" s="624" t="s">
        <v>63</v>
      </c>
      <c r="E251" s="625"/>
      <c r="F251" s="625"/>
      <c r="G251" s="626"/>
    </row>
    <row r="252" spans="1:7" s="93" customFormat="1" ht="15" hidden="1" customHeight="1">
      <c r="A252" s="685" t="s">
        <v>278</v>
      </c>
      <c r="B252" s="639" t="s">
        <v>2</v>
      </c>
      <c r="C252" s="640"/>
      <c r="D252" s="641"/>
      <c r="E252" s="642"/>
      <c r="F252" s="642"/>
      <c r="G252" s="643"/>
    </row>
    <row r="253" spans="1:7" s="93" customFormat="1" ht="15" hidden="1" customHeight="1">
      <c r="A253" s="686"/>
      <c r="B253" s="613" t="s">
        <v>3</v>
      </c>
      <c r="C253" s="614"/>
      <c r="D253" s="615"/>
      <c r="E253" s="616"/>
      <c r="F253" s="616"/>
      <c r="G253" s="617"/>
    </row>
    <row r="254" spans="1:7" s="93" customFormat="1" ht="15" hidden="1" customHeight="1">
      <c r="A254" s="686"/>
      <c r="B254" s="613" t="s">
        <v>4</v>
      </c>
      <c r="C254" s="614"/>
      <c r="D254" s="615"/>
      <c r="E254" s="616"/>
      <c r="F254" s="616"/>
      <c r="G254" s="617"/>
    </row>
    <row r="255" spans="1:7" s="93" customFormat="1" ht="15" hidden="1" customHeight="1">
      <c r="A255" s="687"/>
      <c r="B255" s="630" t="s">
        <v>96</v>
      </c>
      <c r="C255" s="631"/>
      <c r="D255" s="632" t="s">
        <v>110</v>
      </c>
      <c r="E255" s="633"/>
      <c r="F255" s="633"/>
      <c r="G255" s="634"/>
    </row>
    <row r="256" spans="1:7" s="93" customFormat="1" ht="15" hidden="1" customHeight="1">
      <c r="A256" s="261" t="s">
        <v>165</v>
      </c>
      <c r="B256" s="635">
        <v>24</v>
      </c>
      <c r="C256" s="635"/>
      <c r="D256" s="635"/>
      <c r="E256" s="635"/>
      <c r="F256" s="635"/>
      <c r="G256" s="636"/>
    </row>
    <row r="257" spans="1:7" s="93" customFormat="1" ht="15" hidden="1" customHeight="1">
      <c r="A257" s="675" t="s">
        <v>0</v>
      </c>
      <c r="B257" s="620" t="s">
        <v>8</v>
      </c>
      <c r="C257" s="621"/>
      <c r="D257" s="262" t="s">
        <v>23</v>
      </c>
      <c r="E257" s="263" t="s">
        <v>514</v>
      </c>
      <c r="F257" s="250" t="str">
        <f>IF(E257="香港・マカオ以外","登録番号","")</f>
        <v/>
      </c>
      <c r="G257" s="264"/>
    </row>
    <row r="258" spans="1:7" s="93" customFormat="1" ht="15" hidden="1" customHeight="1">
      <c r="A258" s="676"/>
      <c r="B258" s="637" t="s">
        <v>9</v>
      </c>
      <c r="C258" s="265" t="s">
        <v>10</v>
      </c>
      <c r="D258" s="627" t="s">
        <v>63</v>
      </c>
      <c r="E258" s="628"/>
      <c r="F258" s="628"/>
      <c r="G258" s="629"/>
    </row>
    <row r="259" spans="1:7" s="93" customFormat="1" ht="15" hidden="1" customHeight="1">
      <c r="A259" s="676"/>
      <c r="B259" s="638"/>
      <c r="C259" s="265" t="s">
        <v>11</v>
      </c>
      <c r="D259" s="627" t="s">
        <v>118</v>
      </c>
      <c r="E259" s="628"/>
      <c r="F259" s="628"/>
      <c r="G259" s="629"/>
    </row>
    <row r="260" spans="1:7" s="93" customFormat="1" ht="15" hidden="1" customHeight="1">
      <c r="A260" s="676"/>
      <c r="B260" s="618" t="s">
        <v>480</v>
      </c>
      <c r="C260" s="265" t="s">
        <v>10</v>
      </c>
      <c r="D260" s="627" t="s">
        <v>63</v>
      </c>
      <c r="E260" s="628"/>
      <c r="F260" s="628"/>
      <c r="G260" s="629"/>
    </row>
    <row r="261" spans="1:7" s="93" customFormat="1" ht="15" hidden="1" customHeight="1">
      <c r="A261" s="676"/>
      <c r="B261" s="619"/>
      <c r="C261" s="265" t="s">
        <v>11</v>
      </c>
      <c r="D261" s="627" t="s">
        <v>118</v>
      </c>
      <c r="E261" s="628"/>
      <c r="F261" s="628"/>
      <c r="G261" s="629"/>
    </row>
    <row r="262" spans="1:7" s="93" customFormat="1" ht="62.1" hidden="1" customHeight="1">
      <c r="A262" s="676"/>
      <c r="B262" s="622" t="s">
        <v>231</v>
      </c>
      <c r="C262" s="623"/>
      <c r="D262" s="624" t="s">
        <v>63</v>
      </c>
      <c r="E262" s="625"/>
      <c r="F262" s="625"/>
      <c r="G262" s="626"/>
    </row>
    <row r="263" spans="1:7" s="93" customFormat="1" ht="15" hidden="1" customHeight="1">
      <c r="A263" s="685" t="s">
        <v>278</v>
      </c>
      <c r="B263" s="639" t="s">
        <v>2</v>
      </c>
      <c r="C263" s="640"/>
      <c r="D263" s="641"/>
      <c r="E263" s="642"/>
      <c r="F263" s="642"/>
      <c r="G263" s="643"/>
    </row>
    <row r="264" spans="1:7" s="93" customFormat="1" ht="15" hidden="1" customHeight="1">
      <c r="A264" s="686"/>
      <c r="B264" s="613" t="s">
        <v>3</v>
      </c>
      <c r="C264" s="614"/>
      <c r="D264" s="615"/>
      <c r="E264" s="616"/>
      <c r="F264" s="616"/>
      <c r="G264" s="617"/>
    </row>
    <row r="265" spans="1:7" s="93" customFormat="1" ht="15" hidden="1" customHeight="1">
      <c r="A265" s="686"/>
      <c r="B265" s="613" t="s">
        <v>4</v>
      </c>
      <c r="C265" s="614"/>
      <c r="D265" s="615"/>
      <c r="E265" s="616"/>
      <c r="F265" s="616"/>
      <c r="G265" s="617"/>
    </row>
    <row r="266" spans="1:7" s="93" customFormat="1" ht="15" hidden="1" customHeight="1">
      <c r="A266" s="687"/>
      <c r="B266" s="630" t="s">
        <v>96</v>
      </c>
      <c r="C266" s="631"/>
      <c r="D266" s="632" t="s">
        <v>110</v>
      </c>
      <c r="E266" s="633"/>
      <c r="F266" s="633"/>
      <c r="G266" s="634"/>
    </row>
    <row r="267" spans="1:7" s="93" customFormat="1" ht="15" hidden="1" customHeight="1">
      <c r="A267" s="261" t="s">
        <v>165</v>
      </c>
      <c r="B267" s="635">
        <v>25</v>
      </c>
      <c r="C267" s="635"/>
      <c r="D267" s="635"/>
      <c r="E267" s="635"/>
      <c r="F267" s="635"/>
      <c r="G267" s="636"/>
    </row>
    <row r="268" spans="1:7" s="93" customFormat="1" ht="15" hidden="1" customHeight="1">
      <c r="A268" s="675" t="s">
        <v>0</v>
      </c>
      <c r="B268" s="620" t="s">
        <v>8</v>
      </c>
      <c r="C268" s="621"/>
      <c r="D268" s="262" t="s">
        <v>23</v>
      </c>
      <c r="E268" s="263" t="s">
        <v>514</v>
      </c>
      <c r="F268" s="250" t="str">
        <f>IF(E268="香港・マカオ以外","登録番号","")</f>
        <v/>
      </c>
      <c r="G268" s="264"/>
    </row>
    <row r="269" spans="1:7" s="93" customFormat="1" ht="15" hidden="1" customHeight="1">
      <c r="A269" s="676"/>
      <c r="B269" s="637" t="s">
        <v>9</v>
      </c>
      <c r="C269" s="265" t="s">
        <v>10</v>
      </c>
      <c r="D269" s="627" t="s">
        <v>63</v>
      </c>
      <c r="E269" s="628"/>
      <c r="F269" s="628"/>
      <c r="G269" s="629"/>
    </row>
    <row r="270" spans="1:7" s="93" customFormat="1" ht="15" hidden="1" customHeight="1">
      <c r="A270" s="676"/>
      <c r="B270" s="638"/>
      <c r="C270" s="265" t="s">
        <v>11</v>
      </c>
      <c r="D270" s="627" t="s">
        <v>118</v>
      </c>
      <c r="E270" s="628"/>
      <c r="F270" s="628"/>
      <c r="G270" s="629"/>
    </row>
    <row r="271" spans="1:7" s="93" customFormat="1" ht="15" hidden="1" customHeight="1">
      <c r="A271" s="676"/>
      <c r="B271" s="618" t="s">
        <v>480</v>
      </c>
      <c r="C271" s="265" t="s">
        <v>10</v>
      </c>
      <c r="D271" s="627" t="s">
        <v>63</v>
      </c>
      <c r="E271" s="628"/>
      <c r="F271" s="628"/>
      <c r="G271" s="629"/>
    </row>
    <row r="272" spans="1:7" s="93" customFormat="1" ht="15" hidden="1" customHeight="1">
      <c r="A272" s="676"/>
      <c r="B272" s="619"/>
      <c r="C272" s="265" t="s">
        <v>11</v>
      </c>
      <c r="D272" s="627" t="s">
        <v>118</v>
      </c>
      <c r="E272" s="628"/>
      <c r="F272" s="628"/>
      <c r="G272" s="629"/>
    </row>
    <row r="273" spans="1:7" s="93" customFormat="1" ht="62.1" hidden="1" customHeight="1">
      <c r="A273" s="676"/>
      <c r="B273" s="622" t="s">
        <v>231</v>
      </c>
      <c r="C273" s="623"/>
      <c r="D273" s="624" t="s">
        <v>63</v>
      </c>
      <c r="E273" s="625"/>
      <c r="F273" s="625"/>
      <c r="G273" s="626"/>
    </row>
    <row r="274" spans="1:7" s="93" customFormat="1" ht="15" hidden="1" customHeight="1">
      <c r="A274" s="685" t="s">
        <v>278</v>
      </c>
      <c r="B274" s="639" t="s">
        <v>2</v>
      </c>
      <c r="C274" s="640"/>
      <c r="D274" s="641"/>
      <c r="E274" s="642"/>
      <c r="F274" s="642"/>
      <c r="G274" s="643"/>
    </row>
    <row r="275" spans="1:7" s="93" customFormat="1" ht="15" hidden="1" customHeight="1">
      <c r="A275" s="686"/>
      <c r="B275" s="613" t="s">
        <v>3</v>
      </c>
      <c r="C275" s="614"/>
      <c r="D275" s="615"/>
      <c r="E275" s="616"/>
      <c r="F275" s="616"/>
      <c r="G275" s="617"/>
    </row>
    <row r="276" spans="1:7" s="93" customFormat="1" ht="15" hidden="1" customHeight="1">
      <c r="A276" s="686"/>
      <c r="B276" s="613" t="s">
        <v>4</v>
      </c>
      <c r="C276" s="614"/>
      <c r="D276" s="615"/>
      <c r="E276" s="616"/>
      <c r="F276" s="616"/>
      <c r="G276" s="617"/>
    </row>
    <row r="277" spans="1:7" s="93" customFormat="1" ht="15" hidden="1" customHeight="1">
      <c r="A277" s="687"/>
      <c r="B277" s="630" t="s">
        <v>96</v>
      </c>
      <c r="C277" s="631"/>
      <c r="D277" s="632" t="s">
        <v>110</v>
      </c>
      <c r="E277" s="633"/>
      <c r="F277" s="633"/>
      <c r="G277" s="634"/>
    </row>
  </sheetData>
  <sheetProtection algorithmName="SHA-512" hashValue="U/YePoSmCeIDwM5ELoT2dzyufpCfYUd/V4+HjJ9ri4e06CKVqCZnumAeeoVh84nty8laAoWbIidFOHSFf8UsVg==" saltValue="WxSl787WfRtLvYUI72yZuQ==" spinCount="100000" sheet="1" formatCells="0" formatColumns="0" formatRows="0" selectLockedCells="1"/>
  <mergeCells count="500">
    <mergeCell ref="B143:C143"/>
    <mergeCell ref="B134:C134"/>
    <mergeCell ref="D120:G120"/>
    <mergeCell ref="B121:C121"/>
    <mergeCell ref="D121:G121"/>
    <mergeCell ref="B122:C122"/>
    <mergeCell ref="D128:G128"/>
    <mergeCell ref="B111:C111"/>
    <mergeCell ref="D119:G119"/>
    <mergeCell ref="D134:G134"/>
    <mergeCell ref="B131:C131"/>
    <mergeCell ref="D127:G127"/>
    <mergeCell ref="D117:G117"/>
    <mergeCell ref="D122:G122"/>
    <mergeCell ref="B115:B116"/>
    <mergeCell ref="D115:G115"/>
    <mergeCell ref="D116:G116"/>
    <mergeCell ref="D141:G141"/>
    <mergeCell ref="D131:G131"/>
    <mergeCell ref="B132:C132"/>
    <mergeCell ref="D132:G132"/>
    <mergeCell ref="B133:C133"/>
    <mergeCell ref="D133:G133"/>
    <mergeCell ref="B120:C120"/>
    <mergeCell ref="B43:C43"/>
    <mergeCell ref="D43:G43"/>
    <mergeCell ref="B44:C44"/>
    <mergeCell ref="D44:G44"/>
    <mergeCell ref="B45:C45"/>
    <mergeCell ref="D45:G45"/>
    <mergeCell ref="B113:G113"/>
    <mergeCell ref="B109:C109"/>
    <mergeCell ref="B3:G3"/>
    <mergeCell ref="B14:G14"/>
    <mergeCell ref="B25:G25"/>
    <mergeCell ref="B24:C24"/>
    <mergeCell ref="B9:C9"/>
    <mergeCell ref="B37:C37"/>
    <mergeCell ref="B38:B39"/>
    <mergeCell ref="B54:C54"/>
    <mergeCell ref="B67:C67"/>
    <mergeCell ref="B31:C31"/>
    <mergeCell ref="B33:C33"/>
    <mergeCell ref="B42:C42"/>
    <mergeCell ref="B26:C26"/>
    <mergeCell ref="B34:C34"/>
    <mergeCell ref="B35:C35"/>
    <mergeCell ref="D73:G73"/>
    <mergeCell ref="A263:A266"/>
    <mergeCell ref="A274:A277"/>
    <mergeCell ref="A120:A123"/>
    <mergeCell ref="A131:A134"/>
    <mergeCell ref="A142:A145"/>
    <mergeCell ref="A153:A156"/>
    <mergeCell ref="A164:A167"/>
    <mergeCell ref="A175:A178"/>
    <mergeCell ref="A186:A189"/>
    <mergeCell ref="A197:A200"/>
    <mergeCell ref="A208:A211"/>
    <mergeCell ref="A169:A174"/>
    <mergeCell ref="A219:A222"/>
    <mergeCell ref="A147:A152"/>
    <mergeCell ref="A191:A196"/>
    <mergeCell ref="A224:A229"/>
    <mergeCell ref="A235:A240"/>
    <mergeCell ref="A246:A251"/>
    <mergeCell ref="A257:A262"/>
    <mergeCell ref="A213:A218"/>
    <mergeCell ref="A202:A207"/>
    <mergeCell ref="A252:A255"/>
    <mergeCell ref="A230:A233"/>
    <mergeCell ref="A241:A244"/>
    <mergeCell ref="D74:G74"/>
    <mergeCell ref="B76:C76"/>
    <mergeCell ref="B75:C75"/>
    <mergeCell ref="D75:G75"/>
    <mergeCell ref="D76:G76"/>
    <mergeCell ref="A180:A185"/>
    <mergeCell ref="A87:A90"/>
    <mergeCell ref="A98:A101"/>
    <mergeCell ref="D105:G105"/>
    <mergeCell ref="B102:G102"/>
    <mergeCell ref="D107:G107"/>
    <mergeCell ref="B93:B94"/>
    <mergeCell ref="D93:G93"/>
    <mergeCell ref="D94:G94"/>
    <mergeCell ref="B90:C90"/>
    <mergeCell ref="B88:C88"/>
    <mergeCell ref="D88:G88"/>
    <mergeCell ref="B89:C89"/>
    <mergeCell ref="D89:G89"/>
    <mergeCell ref="D90:G90"/>
    <mergeCell ref="B91:G91"/>
    <mergeCell ref="D155:G155"/>
    <mergeCell ref="D109:G109"/>
    <mergeCell ref="A81:A86"/>
    <mergeCell ref="A92:A97"/>
    <mergeCell ref="A158:A163"/>
    <mergeCell ref="A125:A130"/>
    <mergeCell ref="D77:G77"/>
    <mergeCell ref="B78:C78"/>
    <mergeCell ref="D78:G78"/>
    <mergeCell ref="D84:G84"/>
    <mergeCell ref="D85:G85"/>
    <mergeCell ref="B79:C79"/>
    <mergeCell ref="D79:G79"/>
    <mergeCell ref="B81:C81"/>
    <mergeCell ref="B82:B83"/>
    <mergeCell ref="D82:G82"/>
    <mergeCell ref="D83:G83"/>
    <mergeCell ref="D104:G104"/>
    <mergeCell ref="B77:C77"/>
    <mergeCell ref="B110:C110"/>
    <mergeCell ref="D110:G110"/>
    <mergeCell ref="D156:G156"/>
    <mergeCell ref="B158:C158"/>
    <mergeCell ref="D150:G150"/>
    <mergeCell ref="D148:G148"/>
    <mergeCell ref="B142:C142"/>
    <mergeCell ref="B86:C86"/>
    <mergeCell ref="A43:A46"/>
    <mergeCell ref="A54:A57"/>
    <mergeCell ref="A65:A68"/>
    <mergeCell ref="A76:A79"/>
    <mergeCell ref="A114:A119"/>
    <mergeCell ref="A109:A112"/>
    <mergeCell ref="A103:A108"/>
    <mergeCell ref="B155:C155"/>
    <mergeCell ref="B36:G36"/>
    <mergeCell ref="B47:G47"/>
    <mergeCell ref="B58:G58"/>
    <mergeCell ref="B69:G69"/>
    <mergeCell ref="B80:G80"/>
    <mergeCell ref="B70:C70"/>
    <mergeCell ref="B71:B72"/>
    <mergeCell ref="D71:G71"/>
    <mergeCell ref="D72:G72"/>
    <mergeCell ref="D62:G62"/>
    <mergeCell ref="D63:G63"/>
    <mergeCell ref="B65:C65"/>
    <mergeCell ref="D65:G65"/>
    <mergeCell ref="B66:C66"/>
    <mergeCell ref="B49:B50"/>
    <mergeCell ref="A70:A75"/>
    <mergeCell ref="A4:A9"/>
    <mergeCell ref="A15:A20"/>
    <mergeCell ref="B4:C4"/>
    <mergeCell ref="B16:B17"/>
    <mergeCell ref="A10:A13"/>
    <mergeCell ref="B20:C20"/>
    <mergeCell ref="B23:C23"/>
    <mergeCell ref="B22:C22"/>
    <mergeCell ref="B32:C32"/>
    <mergeCell ref="B29:B30"/>
    <mergeCell ref="B15:C15"/>
    <mergeCell ref="B7:B8"/>
    <mergeCell ref="B27:B28"/>
    <mergeCell ref="A32:A35"/>
    <mergeCell ref="B40:B41"/>
    <mergeCell ref="B62:B63"/>
    <mergeCell ref="A48:A53"/>
    <mergeCell ref="A59:A64"/>
    <mergeCell ref="A37:A42"/>
    <mergeCell ref="A26:A31"/>
    <mergeCell ref="A21:A24"/>
    <mergeCell ref="D16:G16"/>
    <mergeCell ref="D17:G17"/>
    <mergeCell ref="D19:G19"/>
    <mergeCell ref="D18:G18"/>
    <mergeCell ref="B21:C21"/>
    <mergeCell ref="D20:G20"/>
    <mergeCell ref="B18:B19"/>
    <mergeCell ref="B46:C46"/>
    <mergeCell ref="D46:G46"/>
    <mergeCell ref="B48:C48"/>
    <mergeCell ref="D54:G54"/>
    <mergeCell ref="B55:C55"/>
    <mergeCell ref="D55:G55"/>
    <mergeCell ref="B56:C56"/>
    <mergeCell ref="D56:G56"/>
    <mergeCell ref="B57:C57"/>
    <mergeCell ref="D52:G52"/>
    <mergeCell ref="D5:G5"/>
    <mergeCell ref="D9:G9"/>
    <mergeCell ref="B11:C11"/>
    <mergeCell ref="B10:C10"/>
    <mergeCell ref="B13:C13"/>
    <mergeCell ref="B12:C12"/>
    <mergeCell ref="B5:B6"/>
    <mergeCell ref="D10:G10"/>
    <mergeCell ref="D11:G11"/>
    <mergeCell ref="D12:G12"/>
    <mergeCell ref="D13:G13"/>
    <mergeCell ref="D6:G6"/>
    <mergeCell ref="D7:G7"/>
    <mergeCell ref="D8:G8"/>
    <mergeCell ref="B53:C53"/>
    <mergeCell ref="D53:G53"/>
    <mergeCell ref="D57:G57"/>
    <mergeCell ref="B51:B52"/>
    <mergeCell ref="D51:G51"/>
    <mergeCell ref="D49:G49"/>
    <mergeCell ref="D50:G50"/>
    <mergeCell ref="D67:G67"/>
    <mergeCell ref="B68:C68"/>
    <mergeCell ref="D68:G68"/>
    <mergeCell ref="B64:C64"/>
    <mergeCell ref="D64:G64"/>
    <mergeCell ref="D66:G66"/>
    <mergeCell ref="B73:B74"/>
    <mergeCell ref="B84:B85"/>
    <mergeCell ref="D151:G151"/>
    <mergeCell ref="D153:G153"/>
    <mergeCell ref="A136:A141"/>
    <mergeCell ref="B136:C136"/>
    <mergeCell ref="B137:B138"/>
    <mergeCell ref="D137:G137"/>
    <mergeCell ref="D138:G138"/>
    <mergeCell ref="B145:C145"/>
    <mergeCell ref="B141:C141"/>
    <mergeCell ref="D143:G143"/>
    <mergeCell ref="B144:C144"/>
    <mergeCell ref="D144:G144"/>
    <mergeCell ref="D139:G139"/>
    <mergeCell ref="D140:G140"/>
    <mergeCell ref="B152:C152"/>
    <mergeCell ref="D152:G152"/>
    <mergeCell ref="D145:G145"/>
    <mergeCell ref="D142:G142"/>
    <mergeCell ref="B97:C97"/>
    <mergeCell ref="D97:G97"/>
    <mergeCell ref="D95:G95"/>
    <mergeCell ref="D96:G96"/>
    <mergeCell ref="B181:B182"/>
    <mergeCell ref="D181:G181"/>
    <mergeCell ref="D182:G182"/>
    <mergeCell ref="D162:G162"/>
    <mergeCell ref="B180:C180"/>
    <mergeCell ref="B178:C178"/>
    <mergeCell ref="B176:C176"/>
    <mergeCell ref="D176:G176"/>
    <mergeCell ref="B177:C177"/>
    <mergeCell ref="D177:G177"/>
    <mergeCell ref="B166:C166"/>
    <mergeCell ref="D166:G166"/>
    <mergeCell ref="B164:C164"/>
    <mergeCell ref="B169:C169"/>
    <mergeCell ref="B168:G168"/>
    <mergeCell ref="B179:G179"/>
    <mergeCell ref="D149:G149"/>
    <mergeCell ref="D178:G178"/>
    <mergeCell ref="B153:C153"/>
    <mergeCell ref="B154:C154"/>
    <mergeCell ref="D154:G154"/>
    <mergeCell ref="B156:C156"/>
    <mergeCell ref="B148:B149"/>
    <mergeCell ref="D164:G164"/>
    <mergeCell ref="B165:C165"/>
    <mergeCell ref="D165:G165"/>
    <mergeCell ref="B191:C191"/>
    <mergeCell ref="B189:C189"/>
    <mergeCell ref="B190:G190"/>
    <mergeCell ref="D195:G195"/>
    <mergeCell ref="D194:G194"/>
    <mergeCell ref="B199:C199"/>
    <mergeCell ref="D199:G199"/>
    <mergeCell ref="B186:C186"/>
    <mergeCell ref="D192:G192"/>
    <mergeCell ref="D193:G193"/>
    <mergeCell ref="D189:G189"/>
    <mergeCell ref="B192:B193"/>
    <mergeCell ref="B185:C185"/>
    <mergeCell ref="D185:G185"/>
    <mergeCell ref="D183:G183"/>
    <mergeCell ref="D184:G184"/>
    <mergeCell ref="D186:G186"/>
    <mergeCell ref="B187:C187"/>
    <mergeCell ref="D187:G187"/>
    <mergeCell ref="B188:C188"/>
    <mergeCell ref="D188:G188"/>
    <mergeCell ref="B277:C277"/>
    <mergeCell ref="D277:G277"/>
    <mergeCell ref="B274:C274"/>
    <mergeCell ref="D274:G274"/>
    <mergeCell ref="D272:G272"/>
    <mergeCell ref="B256:G256"/>
    <mergeCell ref="B245:G245"/>
    <mergeCell ref="D255:G255"/>
    <mergeCell ref="D263:G263"/>
    <mergeCell ref="D265:G265"/>
    <mergeCell ref="D254:G254"/>
    <mergeCell ref="B276:C276"/>
    <mergeCell ref="D276:G276"/>
    <mergeCell ref="D271:G271"/>
    <mergeCell ref="B273:C273"/>
    <mergeCell ref="D273:G273"/>
    <mergeCell ref="D269:G269"/>
    <mergeCell ref="D270:G270"/>
    <mergeCell ref="B257:C257"/>
    <mergeCell ref="B263:C263"/>
    <mergeCell ref="B266:C266"/>
    <mergeCell ref="D266:G266"/>
    <mergeCell ref="B264:C264"/>
    <mergeCell ref="D264:G264"/>
    <mergeCell ref="B202:C202"/>
    <mergeCell ref="B203:B204"/>
    <mergeCell ref="D203:G203"/>
    <mergeCell ref="D204:G204"/>
    <mergeCell ref="B207:C207"/>
    <mergeCell ref="D207:G207"/>
    <mergeCell ref="D205:G205"/>
    <mergeCell ref="D227:G227"/>
    <mergeCell ref="D228:G228"/>
    <mergeCell ref="B224:C224"/>
    <mergeCell ref="B225:B226"/>
    <mergeCell ref="D225:G225"/>
    <mergeCell ref="D208:G208"/>
    <mergeCell ref="D217:G217"/>
    <mergeCell ref="D209:G209"/>
    <mergeCell ref="B210:C210"/>
    <mergeCell ref="D210:G210"/>
    <mergeCell ref="D226:G226"/>
    <mergeCell ref="D99:G99"/>
    <mergeCell ref="B100:C100"/>
    <mergeCell ref="D100:G100"/>
    <mergeCell ref="B98:C98"/>
    <mergeCell ref="D198:G198"/>
    <mergeCell ref="A268:A273"/>
    <mergeCell ref="B269:B270"/>
    <mergeCell ref="B268:C268"/>
    <mergeCell ref="B275:C275"/>
    <mergeCell ref="D275:G275"/>
    <mergeCell ref="B194:B195"/>
    <mergeCell ref="D200:G200"/>
    <mergeCell ref="B196:C196"/>
    <mergeCell ref="B159:B160"/>
    <mergeCell ref="D159:G159"/>
    <mergeCell ref="D160:G160"/>
    <mergeCell ref="B163:C163"/>
    <mergeCell ref="D163:G163"/>
    <mergeCell ref="D175:G175"/>
    <mergeCell ref="D172:G172"/>
    <mergeCell ref="D173:G173"/>
    <mergeCell ref="B167:C167"/>
    <mergeCell ref="B175:C175"/>
    <mergeCell ref="D174:G174"/>
    <mergeCell ref="B201:G201"/>
    <mergeCell ref="D196:G196"/>
    <mergeCell ref="B197:C197"/>
    <mergeCell ref="D197:G197"/>
    <mergeCell ref="B198:C198"/>
    <mergeCell ref="D206:G206"/>
    <mergeCell ref="D214:G214"/>
    <mergeCell ref="B205:B206"/>
    <mergeCell ref="B254:C254"/>
    <mergeCell ref="D253:G253"/>
    <mergeCell ref="D249:G249"/>
    <mergeCell ref="D250:G250"/>
    <mergeCell ref="D238:G238"/>
    <mergeCell ref="D239:G239"/>
    <mergeCell ref="B235:C235"/>
    <mergeCell ref="B236:B237"/>
    <mergeCell ref="D236:G236"/>
    <mergeCell ref="D237:G237"/>
    <mergeCell ref="B240:C240"/>
    <mergeCell ref="D240:G240"/>
    <mergeCell ref="B249:B250"/>
    <mergeCell ref="D244:G244"/>
    <mergeCell ref="B247:B248"/>
    <mergeCell ref="D243:G243"/>
    <mergeCell ref="B123:C123"/>
    <mergeCell ref="D123:G123"/>
    <mergeCell ref="D129:G129"/>
    <mergeCell ref="D130:G130"/>
    <mergeCell ref="B125:C125"/>
    <mergeCell ref="B130:C130"/>
    <mergeCell ref="B126:B127"/>
    <mergeCell ref="D30:G30"/>
    <mergeCell ref="B108:C108"/>
    <mergeCell ref="D108:G108"/>
    <mergeCell ref="B101:C101"/>
    <mergeCell ref="D101:G101"/>
    <mergeCell ref="B103:C103"/>
    <mergeCell ref="B59:C59"/>
    <mergeCell ref="B60:B61"/>
    <mergeCell ref="D60:G60"/>
    <mergeCell ref="D61:G61"/>
    <mergeCell ref="D86:G86"/>
    <mergeCell ref="B87:C87"/>
    <mergeCell ref="D87:G87"/>
    <mergeCell ref="B92:C92"/>
    <mergeCell ref="D98:G98"/>
    <mergeCell ref="B99:C99"/>
    <mergeCell ref="D106:G106"/>
    <mergeCell ref="D24:G24"/>
    <mergeCell ref="D21:G21"/>
    <mergeCell ref="D23:G23"/>
    <mergeCell ref="D29:G29"/>
    <mergeCell ref="D28:G28"/>
    <mergeCell ref="D42:G42"/>
    <mergeCell ref="D40:G40"/>
    <mergeCell ref="D41:G41"/>
    <mergeCell ref="D35:G35"/>
    <mergeCell ref="D32:G32"/>
    <mergeCell ref="D33:G33"/>
    <mergeCell ref="D34:G34"/>
    <mergeCell ref="D38:G38"/>
    <mergeCell ref="D39:G39"/>
    <mergeCell ref="D31:G31"/>
    <mergeCell ref="D22:G22"/>
    <mergeCell ref="D27:G27"/>
    <mergeCell ref="B265:C265"/>
    <mergeCell ref="B267:G267"/>
    <mergeCell ref="B147:C147"/>
    <mergeCell ref="B170:B171"/>
    <mergeCell ref="D170:G170"/>
    <mergeCell ref="D171:G171"/>
    <mergeCell ref="D161:G161"/>
    <mergeCell ref="D167:G167"/>
    <mergeCell ref="D251:G251"/>
    <mergeCell ref="D222:G222"/>
    <mergeCell ref="B222:C222"/>
    <mergeCell ref="B244:C244"/>
    <mergeCell ref="B208:C208"/>
    <mergeCell ref="B246:C246"/>
    <mergeCell ref="B252:C252"/>
    <mergeCell ref="D252:G252"/>
    <mergeCell ref="B253:C253"/>
    <mergeCell ref="D248:G248"/>
    <mergeCell ref="B229:C229"/>
    <mergeCell ref="D247:G247"/>
    <mergeCell ref="B241:C241"/>
    <mergeCell ref="D241:G241"/>
    <mergeCell ref="D242:G242"/>
    <mergeCell ref="B243:C243"/>
    <mergeCell ref="B238:B239"/>
    <mergeCell ref="B200:C200"/>
    <mergeCell ref="D126:G126"/>
    <mergeCell ref="B95:B96"/>
    <mergeCell ref="B106:B107"/>
    <mergeCell ref="B117:B118"/>
    <mergeCell ref="B128:B129"/>
    <mergeCell ref="B139:B140"/>
    <mergeCell ref="B150:B151"/>
    <mergeCell ref="B161:B162"/>
    <mergeCell ref="B172:B173"/>
    <mergeCell ref="B183:B184"/>
    <mergeCell ref="B119:C119"/>
    <mergeCell ref="B104:B105"/>
    <mergeCell ref="B174:C174"/>
    <mergeCell ref="B157:G157"/>
    <mergeCell ref="D111:G111"/>
    <mergeCell ref="D112:G112"/>
    <mergeCell ref="B124:G124"/>
    <mergeCell ref="B135:G135"/>
    <mergeCell ref="B146:G146"/>
    <mergeCell ref="D118:G118"/>
    <mergeCell ref="B112:C112"/>
    <mergeCell ref="B114:C114"/>
    <mergeCell ref="B260:B261"/>
    <mergeCell ref="B271:B272"/>
    <mergeCell ref="B214:B215"/>
    <mergeCell ref="B262:C262"/>
    <mergeCell ref="B242:C242"/>
    <mergeCell ref="B234:G234"/>
    <mergeCell ref="B233:C233"/>
    <mergeCell ref="B230:C230"/>
    <mergeCell ref="D233:G233"/>
    <mergeCell ref="D262:G262"/>
    <mergeCell ref="B258:B259"/>
    <mergeCell ref="D261:G261"/>
    <mergeCell ref="D258:G258"/>
    <mergeCell ref="D259:G259"/>
    <mergeCell ref="D260:G260"/>
    <mergeCell ref="B255:C255"/>
    <mergeCell ref="B251:C251"/>
    <mergeCell ref="B223:G223"/>
    <mergeCell ref="B219:C219"/>
    <mergeCell ref="D219:G219"/>
    <mergeCell ref="B220:C220"/>
    <mergeCell ref="D220:G220"/>
    <mergeCell ref="D229:G229"/>
    <mergeCell ref="D230:G230"/>
    <mergeCell ref="B231:C231"/>
    <mergeCell ref="D231:G231"/>
    <mergeCell ref="B232:C232"/>
    <mergeCell ref="D232:G232"/>
    <mergeCell ref="B209:C209"/>
    <mergeCell ref="B216:B217"/>
    <mergeCell ref="B227:B228"/>
    <mergeCell ref="B221:C221"/>
    <mergeCell ref="D221:G221"/>
    <mergeCell ref="B213:C213"/>
    <mergeCell ref="B218:C218"/>
    <mergeCell ref="D218:G218"/>
    <mergeCell ref="D216:G216"/>
    <mergeCell ref="B211:C211"/>
    <mergeCell ref="D211:G211"/>
    <mergeCell ref="D215:G215"/>
    <mergeCell ref="B212:G212"/>
  </mergeCells>
  <phoneticPr fontId="14"/>
  <conditionalFormatting sqref="D4">
    <cfRule type="expression" dxfId="693" priority="4344">
      <formula>OR($D4="※選択してください",$D4="")</formula>
    </cfRule>
  </conditionalFormatting>
  <conditionalFormatting sqref="D15">
    <cfRule type="expression" dxfId="692" priority="196">
      <formula>OR($D15="※選択してください",$D15="")</formula>
    </cfRule>
  </conditionalFormatting>
  <conditionalFormatting sqref="D26">
    <cfRule type="expression" dxfId="691" priority="188">
      <formula>OR($D26="※選択してください",$D26="")</formula>
    </cfRule>
  </conditionalFormatting>
  <conditionalFormatting sqref="D37">
    <cfRule type="expression" dxfId="690" priority="180">
      <formula>OR($D37="※選択してください",$D37="")</formula>
    </cfRule>
  </conditionalFormatting>
  <conditionalFormatting sqref="D48">
    <cfRule type="expression" dxfId="689" priority="172">
      <formula>OR($D48="※選択してください",$D48="")</formula>
    </cfRule>
  </conditionalFormatting>
  <conditionalFormatting sqref="D59">
    <cfRule type="expression" dxfId="688" priority="164">
      <formula>OR($D59="※選択してください",$D59="")</formula>
    </cfRule>
  </conditionalFormatting>
  <conditionalFormatting sqref="D70">
    <cfRule type="expression" dxfId="687" priority="156">
      <formula>OR($D70="※選択してください",$D70="")</formula>
    </cfRule>
  </conditionalFormatting>
  <conditionalFormatting sqref="D81">
    <cfRule type="expression" dxfId="686" priority="148">
      <formula>OR($D81="※選択してください",$D81="")</formula>
    </cfRule>
  </conditionalFormatting>
  <conditionalFormatting sqref="D92">
    <cfRule type="expression" dxfId="685" priority="140">
      <formula>OR($D92="※選択してください",$D92="")</formula>
    </cfRule>
  </conditionalFormatting>
  <conditionalFormatting sqref="D103">
    <cfRule type="expression" dxfId="684" priority="132">
      <formula>OR($D103="※選択してください",$D103="")</formula>
    </cfRule>
  </conditionalFormatting>
  <conditionalFormatting sqref="D114">
    <cfRule type="expression" dxfId="683" priority="124">
      <formula>OR($D114="※選択してください",$D114="")</formula>
    </cfRule>
  </conditionalFormatting>
  <conditionalFormatting sqref="D125">
    <cfRule type="expression" dxfId="682" priority="116">
      <formula>OR($D125="※選択してください",$D125="")</formula>
    </cfRule>
  </conditionalFormatting>
  <conditionalFormatting sqref="D136">
    <cfRule type="expression" dxfId="681" priority="108">
      <formula>OR($D136="※選択してください",$D136="")</formula>
    </cfRule>
  </conditionalFormatting>
  <conditionalFormatting sqref="D147">
    <cfRule type="expression" dxfId="680" priority="100">
      <formula>OR($D147="※選択してください",$D147="")</formula>
    </cfRule>
  </conditionalFormatting>
  <conditionalFormatting sqref="D158">
    <cfRule type="expression" dxfId="679" priority="92">
      <formula>OR($D158="※選択してください",$D158="")</formula>
    </cfRule>
  </conditionalFormatting>
  <conditionalFormatting sqref="D169">
    <cfRule type="expression" dxfId="678" priority="84">
      <formula>OR($D169="※選択してください",$D169="")</formula>
    </cfRule>
  </conditionalFormatting>
  <conditionalFormatting sqref="D180">
    <cfRule type="expression" dxfId="677" priority="76">
      <formula>OR($D180="※選択してください",$D180="")</formula>
    </cfRule>
  </conditionalFormatting>
  <conditionalFormatting sqref="D191">
    <cfRule type="expression" dxfId="676" priority="68">
      <formula>OR($D191="※選択してください",$D191="")</formula>
    </cfRule>
  </conditionalFormatting>
  <conditionalFormatting sqref="D202">
    <cfRule type="expression" dxfId="675" priority="60">
      <formula>OR($D202="※選択してください",$D202="")</formula>
    </cfRule>
  </conditionalFormatting>
  <conditionalFormatting sqref="D213">
    <cfRule type="expression" dxfId="674" priority="52">
      <formula>OR($D213="※選択してください",$D213="")</formula>
    </cfRule>
  </conditionalFormatting>
  <conditionalFormatting sqref="D224">
    <cfRule type="expression" dxfId="673" priority="44">
      <formula>OR($D224="※選択してください",$D224="")</formula>
    </cfRule>
  </conditionalFormatting>
  <conditionalFormatting sqref="D235">
    <cfRule type="expression" dxfId="672" priority="36">
      <formula>OR($D235="※選択してください",$D235="")</formula>
    </cfRule>
  </conditionalFormatting>
  <conditionalFormatting sqref="D246">
    <cfRule type="expression" dxfId="671" priority="28">
      <formula>OR($D246="※選択してください",$D246="")</formula>
    </cfRule>
  </conditionalFormatting>
  <conditionalFormatting sqref="D257">
    <cfRule type="expression" dxfId="670" priority="20">
      <formula>OR($D257="※選択してください",$D257="")</formula>
    </cfRule>
  </conditionalFormatting>
  <conditionalFormatting sqref="D268">
    <cfRule type="expression" dxfId="669" priority="12">
      <formula>OR($D268="※選択してください",$D268="")</formula>
    </cfRule>
  </conditionalFormatting>
  <conditionalFormatting sqref="D5:G5 D7:G7 D9:G9 D16:G16 D18:G18 D20:G20 D27:G27 D29:G29 D31:G31 D38:G38 D40:G40 D42:G42 D49:G49 D51:G51 D53:G53 D60:G60 D62:G62 D64:G64 D71:G71 D73:G73 D75:G75 D82:G82 D84:G84 D86:G86 D93:G93 D95:G95 D97:G97 D104:G104 D106:G106 D108:G108 D115:G115 D117:G117 D119:G119 D126:G126 D128:G128 D130:G130 D137:G137 D139:G139 D141:G141 D148:G148 D150:G150 D152:G152 D159:G159 D161:G161 D163:G163 D170:G170 D172:G172 D174:G174 D181:G181 D183:G183 D185:G185 D192:G192 D194:G194 D196:G196 D203:G203 D205:G205 D207:G207 D214:G214 D216:G216 D218:G218 D225:G225 D227:G227 D229:G229 D236:G236 D238:G238 D240:G240 D247:G247 D249:G249 D251:G251 D258:G258 D260:G260 D262:G262 D269:G269 D271:G271 D273:G273">
    <cfRule type="expression" dxfId="668" priority="2802">
      <formula>OR($D5="(日本語)",$D5="")</formula>
    </cfRule>
  </conditionalFormatting>
  <conditionalFormatting sqref="D6:G6 D8:G8 D17:G17 D19:G19 D28:G28 D30:G30 D39:G39 D41:G41 D50:G50 D52:G52 D61:G61 D63:G63 D72:G72 D74:G74 D83:G83 D85:G85 D94:G94 D96:G96 D105:G105 D107:G107 D116:G116 D118:G118 D127:G127 D129:G129 D138:G138 D140:G140 D149:G149 D151:G151 D160:G160 D162:G162 D171:G171 D173:G173 D182:G182 D184:G184 D193:G193 D195:G195 D204:G204 D206:G206 D215:G215 D217:G217 D226:G226 D228:G228 D237:G237 D239:G239 D248:G248 D250:G250 D259:G259 D261:G261 D270:G270 D272:G272">
    <cfRule type="expression" dxfId="667" priority="2801">
      <formula>OR($D6="(半角英数字：HPなどで公表している正式な表記)",$D6="")</formula>
    </cfRule>
  </conditionalFormatting>
  <conditionalFormatting sqref="D10:G12 D21:G23 D32:G34 D43:G45 D54:G56 D65:G67 D76:G78 D87:G89 D98:G100 D109:G111 D120:G122 D131:G133 D142:G144 D153:G155 D164:G166 D175:G177 D186:G188 D197:G199 D208:G210 D219:G221 D230:G232 D241:G243 D252:G254 D263:G265 D274:G276">
    <cfRule type="containsBlanks" dxfId="666" priority="4666">
      <formula>LEN(TRIM(D10))=0</formula>
    </cfRule>
  </conditionalFormatting>
  <conditionalFormatting sqref="D13:G13 D24:G24 D35:G35 D46:G46 D57:G57 D68:G68 D79:G79 D90:G90 D101:G101 D112:G112 D123:G123 D134:G134 D145:G145 D156:G156 D167:G167 D178:G178 D189:G189 D200:G200 D211:G211 D222:G222 D233:G233 D244:G244 D255:G255 D266:G266 D277:G277">
    <cfRule type="expression" dxfId="665" priority="2248">
      <formula>OR($D13="(半角英数字)",$D13="")</formula>
    </cfRule>
  </conditionalFormatting>
  <conditionalFormatting sqref="E4">
    <cfRule type="expression" dxfId="664" priority="2">
      <formula>AND($D4&lt;&gt;"中国",$E4="※地域を選択")</formula>
    </cfRule>
    <cfRule type="expression" dxfId="663" priority="3">
      <formula>AND($D4="中国",$E4="※地域を選択")</formula>
    </cfRule>
    <cfRule type="expression" dxfId="662" priority="4">
      <formula>AND($D4&lt;&gt;"中国",$E4&lt;&gt;"※地域を選択")</formula>
    </cfRule>
    <cfRule type="containsBlanks" dxfId="661" priority="1">
      <formula>LEN(TRIM(E4))=0</formula>
    </cfRule>
  </conditionalFormatting>
  <conditionalFormatting sqref="E15">
    <cfRule type="expression" dxfId="660" priority="193">
      <formula>AND($D15&lt;&gt;"中国",$E15&lt;&gt;"※地域を選択")</formula>
    </cfRule>
    <cfRule type="expression" dxfId="659" priority="192">
      <formula>AND($D15="中国",$E15="※地域を選択")</formula>
    </cfRule>
    <cfRule type="expression" dxfId="658" priority="190">
      <formula>AND($D15&lt;&gt;"中国",$E15="※地域を選択")</formula>
    </cfRule>
    <cfRule type="containsBlanks" dxfId="657" priority="189">
      <formula>LEN(TRIM(E15))=0</formula>
    </cfRule>
  </conditionalFormatting>
  <conditionalFormatting sqref="E26">
    <cfRule type="expression" dxfId="656" priority="184">
      <formula>AND($D26="中国",$E26="※地域を選択")</formula>
    </cfRule>
    <cfRule type="expression" dxfId="655" priority="185">
      <formula>AND($D26&lt;&gt;"中国",$E26&lt;&gt;"※地域を選択")</formula>
    </cfRule>
    <cfRule type="containsBlanks" dxfId="654" priority="181">
      <formula>LEN(TRIM(E26))=0</formula>
    </cfRule>
    <cfRule type="expression" dxfId="653" priority="182">
      <formula>AND($D26&lt;&gt;"中国",$E26="※地域を選択")</formula>
    </cfRule>
  </conditionalFormatting>
  <conditionalFormatting sqref="E37">
    <cfRule type="expression" dxfId="652" priority="177">
      <formula>AND($D37&lt;&gt;"中国",$E37&lt;&gt;"※地域を選択")</formula>
    </cfRule>
    <cfRule type="expression" dxfId="651" priority="176">
      <formula>AND($D37="中国",$E37="※地域を選択")</formula>
    </cfRule>
    <cfRule type="expression" dxfId="650" priority="174">
      <formula>AND($D37&lt;&gt;"中国",$E37="※地域を選択")</formula>
    </cfRule>
    <cfRule type="containsBlanks" dxfId="649" priority="173">
      <formula>LEN(TRIM(E37))=0</formula>
    </cfRule>
  </conditionalFormatting>
  <conditionalFormatting sqref="E48">
    <cfRule type="expression" dxfId="648" priority="169">
      <formula>AND($D48&lt;&gt;"中国",$E48&lt;&gt;"※地域を選択")</formula>
    </cfRule>
    <cfRule type="expression" dxfId="647" priority="168">
      <formula>AND($D48="中国",$E48="※地域を選択")</formula>
    </cfRule>
    <cfRule type="expression" dxfId="646" priority="166">
      <formula>AND($D48&lt;&gt;"中国",$E48="※地域を選択")</formula>
    </cfRule>
    <cfRule type="containsBlanks" dxfId="645" priority="165">
      <formula>LEN(TRIM(E48))=0</formula>
    </cfRule>
  </conditionalFormatting>
  <conditionalFormatting sqref="E59">
    <cfRule type="containsBlanks" dxfId="644" priority="157">
      <formula>LEN(TRIM(E59))=0</formula>
    </cfRule>
    <cfRule type="expression" dxfId="643" priority="158">
      <formula>AND($D59&lt;&gt;"中国",$E59="※地域を選択")</formula>
    </cfRule>
    <cfRule type="expression" dxfId="642" priority="160">
      <formula>AND($D59="中国",$E59="※地域を選択")</formula>
    </cfRule>
    <cfRule type="expression" dxfId="641" priority="161">
      <formula>AND($D59&lt;&gt;"中国",$E59&lt;&gt;"※地域を選択")</formula>
    </cfRule>
  </conditionalFormatting>
  <conditionalFormatting sqref="E70">
    <cfRule type="expression" dxfId="640" priority="152">
      <formula>AND($D70="中国",$E70="※地域を選択")</formula>
    </cfRule>
    <cfRule type="expression" dxfId="639" priority="153">
      <formula>AND($D70&lt;&gt;"中国",$E70&lt;&gt;"※地域を選択")</formula>
    </cfRule>
    <cfRule type="expression" dxfId="638" priority="150">
      <formula>AND($D70&lt;&gt;"中国",$E70="※地域を選択")</formula>
    </cfRule>
    <cfRule type="containsBlanks" dxfId="637" priority="149">
      <formula>LEN(TRIM(E70))=0</formula>
    </cfRule>
  </conditionalFormatting>
  <conditionalFormatting sqref="E81">
    <cfRule type="expression" dxfId="636" priority="144">
      <formula>AND($D81="中国",$E81="※地域を選択")</formula>
    </cfRule>
    <cfRule type="expression" dxfId="635" priority="145">
      <formula>AND($D81&lt;&gt;"中国",$E81&lt;&gt;"※地域を選択")</formula>
    </cfRule>
    <cfRule type="expression" dxfId="634" priority="142">
      <formula>AND($D81&lt;&gt;"中国",$E81="※地域を選択")</formula>
    </cfRule>
    <cfRule type="containsBlanks" dxfId="633" priority="141">
      <formula>LEN(TRIM(E81))=0</formula>
    </cfRule>
  </conditionalFormatting>
  <conditionalFormatting sqref="E92">
    <cfRule type="expression" dxfId="632" priority="137">
      <formula>AND($D92&lt;&gt;"中国",$E92&lt;&gt;"※地域を選択")</formula>
    </cfRule>
    <cfRule type="expression" dxfId="631" priority="136">
      <formula>AND($D92="中国",$E92="※地域を選択")</formula>
    </cfRule>
    <cfRule type="expression" dxfId="630" priority="134">
      <formula>AND($D92&lt;&gt;"中国",$E92="※地域を選択")</formula>
    </cfRule>
    <cfRule type="containsBlanks" dxfId="629" priority="133">
      <formula>LEN(TRIM(E92))=0</formula>
    </cfRule>
  </conditionalFormatting>
  <conditionalFormatting sqref="E103">
    <cfRule type="expression" dxfId="628" priority="129">
      <formula>AND($D103&lt;&gt;"中国",$E103&lt;&gt;"※地域を選択")</formula>
    </cfRule>
    <cfRule type="containsBlanks" dxfId="627" priority="125">
      <formula>LEN(TRIM(E103))=0</formula>
    </cfRule>
    <cfRule type="expression" dxfId="626" priority="128">
      <formula>AND($D103="中国",$E103="※地域を選択")</formula>
    </cfRule>
    <cfRule type="expression" dxfId="625" priority="126">
      <formula>AND($D103&lt;&gt;"中国",$E103="※地域を選択")</formula>
    </cfRule>
  </conditionalFormatting>
  <conditionalFormatting sqref="E114">
    <cfRule type="expression" dxfId="624" priority="120">
      <formula>AND($D114="中国",$E114="※地域を選択")</formula>
    </cfRule>
    <cfRule type="expression" dxfId="623" priority="118">
      <formula>AND($D114&lt;&gt;"中国",$E114="※地域を選択")</formula>
    </cfRule>
    <cfRule type="expression" dxfId="622" priority="121">
      <formula>AND($D114&lt;&gt;"中国",$E114&lt;&gt;"※地域を選択")</formula>
    </cfRule>
    <cfRule type="containsBlanks" dxfId="621" priority="117">
      <formula>LEN(TRIM(E114))=0</formula>
    </cfRule>
  </conditionalFormatting>
  <conditionalFormatting sqref="E125">
    <cfRule type="expression" dxfId="620" priority="112">
      <formula>AND($D125="中国",$E125="※地域を選択")</formula>
    </cfRule>
    <cfRule type="containsBlanks" dxfId="619" priority="109">
      <formula>LEN(TRIM(E125))=0</formula>
    </cfRule>
    <cfRule type="expression" dxfId="618" priority="113">
      <formula>AND($D125&lt;&gt;"中国",$E125&lt;&gt;"※地域を選択")</formula>
    </cfRule>
    <cfRule type="expression" dxfId="617" priority="110">
      <formula>AND($D125&lt;&gt;"中国",$E125="※地域を選択")</formula>
    </cfRule>
  </conditionalFormatting>
  <conditionalFormatting sqref="E136">
    <cfRule type="expression" dxfId="616" priority="105">
      <formula>AND($D136&lt;&gt;"中国",$E136&lt;&gt;"※地域を選択")</formula>
    </cfRule>
    <cfRule type="expression" dxfId="615" priority="102">
      <formula>AND($D136&lt;&gt;"中国",$E136="※地域を選択")</formula>
    </cfRule>
    <cfRule type="containsBlanks" dxfId="614" priority="101">
      <formula>LEN(TRIM(E136))=0</formula>
    </cfRule>
    <cfRule type="expression" dxfId="613" priority="104">
      <formula>AND($D136="中国",$E136="※地域を選択")</formula>
    </cfRule>
  </conditionalFormatting>
  <conditionalFormatting sqref="E147">
    <cfRule type="expression" dxfId="612" priority="97">
      <formula>AND($D147&lt;&gt;"中国",$E147&lt;&gt;"※地域を選択")</formula>
    </cfRule>
    <cfRule type="expression" dxfId="611" priority="96">
      <formula>AND($D147="中国",$E147="※地域を選択")</formula>
    </cfRule>
    <cfRule type="expression" dxfId="610" priority="94">
      <formula>AND($D147&lt;&gt;"中国",$E147="※地域を選択")</formula>
    </cfRule>
    <cfRule type="containsBlanks" dxfId="609" priority="93">
      <formula>LEN(TRIM(E147))=0</formula>
    </cfRule>
  </conditionalFormatting>
  <conditionalFormatting sqref="E158">
    <cfRule type="containsBlanks" dxfId="608" priority="85">
      <formula>LEN(TRIM(E158))=0</formula>
    </cfRule>
    <cfRule type="expression" dxfId="607" priority="86">
      <formula>AND($D158&lt;&gt;"中国",$E158="※地域を選択")</formula>
    </cfRule>
    <cfRule type="expression" dxfId="606" priority="88">
      <formula>AND($D158="中国",$E158="※地域を選択")</formula>
    </cfRule>
    <cfRule type="expression" dxfId="605" priority="89">
      <formula>AND($D158&lt;&gt;"中国",$E158&lt;&gt;"※地域を選択")</formula>
    </cfRule>
  </conditionalFormatting>
  <conditionalFormatting sqref="E169">
    <cfRule type="expression" dxfId="604" priority="81">
      <formula>AND($D169&lt;&gt;"中国",$E169&lt;&gt;"※地域を選択")</formula>
    </cfRule>
    <cfRule type="expression" dxfId="603" priority="80">
      <formula>AND($D169="中国",$E169="※地域を選択")</formula>
    </cfRule>
    <cfRule type="containsBlanks" dxfId="602" priority="77">
      <formula>LEN(TRIM(E169))=0</formula>
    </cfRule>
    <cfRule type="expression" dxfId="601" priority="78">
      <formula>AND($D169&lt;&gt;"中国",$E169="※地域を選択")</formula>
    </cfRule>
  </conditionalFormatting>
  <conditionalFormatting sqref="E180">
    <cfRule type="expression" dxfId="600" priority="73">
      <formula>AND($D180&lt;&gt;"中国",$E180&lt;&gt;"※地域を選択")</formula>
    </cfRule>
    <cfRule type="expression" dxfId="599" priority="72">
      <formula>AND($D180="中国",$E180="※地域を選択")</formula>
    </cfRule>
    <cfRule type="containsBlanks" dxfId="598" priority="69">
      <formula>LEN(TRIM(E180))=0</formula>
    </cfRule>
    <cfRule type="expression" dxfId="597" priority="70">
      <formula>AND($D180&lt;&gt;"中国",$E180="※地域を選択")</formula>
    </cfRule>
  </conditionalFormatting>
  <conditionalFormatting sqref="E191">
    <cfRule type="expression" dxfId="596" priority="64">
      <formula>AND($D191="中国",$E191="※地域を選択")</formula>
    </cfRule>
    <cfRule type="expression" dxfId="595" priority="65">
      <formula>AND($D191&lt;&gt;"中国",$E191&lt;&gt;"※地域を選択")</formula>
    </cfRule>
    <cfRule type="expression" dxfId="594" priority="62">
      <formula>AND($D191&lt;&gt;"中国",$E191="※地域を選択")</formula>
    </cfRule>
    <cfRule type="containsBlanks" dxfId="593" priority="61">
      <formula>LEN(TRIM(E191))=0</formula>
    </cfRule>
  </conditionalFormatting>
  <conditionalFormatting sqref="E202">
    <cfRule type="expression" dxfId="592" priority="54">
      <formula>AND($D202&lt;&gt;"中国",$E202="※地域を選択")</formula>
    </cfRule>
    <cfRule type="containsBlanks" dxfId="591" priority="53">
      <formula>LEN(TRIM(E202))=0</formula>
    </cfRule>
    <cfRule type="expression" dxfId="590" priority="56">
      <formula>AND($D202="中国",$E202="※地域を選択")</formula>
    </cfRule>
    <cfRule type="expression" dxfId="589" priority="57">
      <formula>AND($D202&lt;&gt;"中国",$E202&lt;&gt;"※地域を選択")</formula>
    </cfRule>
  </conditionalFormatting>
  <conditionalFormatting sqref="E213">
    <cfRule type="expression" dxfId="588" priority="49">
      <formula>AND($D213&lt;&gt;"中国",$E213&lt;&gt;"※地域を選択")</formula>
    </cfRule>
    <cfRule type="expression" dxfId="587" priority="46">
      <formula>AND($D213&lt;&gt;"中国",$E213="※地域を選択")</formula>
    </cfRule>
    <cfRule type="containsBlanks" dxfId="586" priority="45">
      <formula>LEN(TRIM(E213))=0</formula>
    </cfRule>
    <cfRule type="expression" dxfId="585" priority="48">
      <formula>AND($D213="中国",$E213="※地域を選択")</formula>
    </cfRule>
  </conditionalFormatting>
  <conditionalFormatting sqref="E224">
    <cfRule type="expression" dxfId="584" priority="41">
      <formula>AND($D224&lt;&gt;"中国",$E224&lt;&gt;"※地域を選択")</formula>
    </cfRule>
    <cfRule type="expression" dxfId="583" priority="40">
      <formula>AND($D224="中国",$E224="※地域を選択")</formula>
    </cfRule>
    <cfRule type="expression" dxfId="582" priority="38">
      <formula>AND($D224&lt;&gt;"中国",$E224="※地域を選択")</formula>
    </cfRule>
    <cfRule type="containsBlanks" dxfId="581" priority="37">
      <formula>LEN(TRIM(E224))=0</formula>
    </cfRule>
  </conditionalFormatting>
  <conditionalFormatting sqref="E235">
    <cfRule type="expression" dxfId="580" priority="32">
      <formula>AND($D235="中国",$E235="※地域を選択")</formula>
    </cfRule>
    <cfRule type="expression" dxfId="579" priority="30">
      <formula>AND($D235&lt;&gt;"中国",$E235="※地域を選択")</formula>
    </cfRule>
    <cfRule type="expression" dxfId="578" priority="33">
      <formula>AND($D235&lt;&gt;"中国",$E235&lt;&gt;"※地域を選択")</formula>
    </cfRule>
    <cfRule type="containsBlanks" dxfId="577" priority="29">
      <formula>LEN(TRIM(E235))=0</formula>
    </cfRule>
  </conditionalFormatting>
  <conditionalFormatting sqref="E246">
    <cfRule type="expression" dxfId="576" priority="22">
      <formula>AND($D246&lt;&gt;"中国",$E246="※地域を選択")</formula>
    </cfRule>
    <cfRule type="containsBlanks" dxfId="575" priority="21">
      <formula>LEN(TRIM(E246))=0</formula>
    </cfRule>
    <cfRule type="expression" dxfId="574" priority="24">
      <formula>AND($D246="中国",$E246="※地域を選択")</formula>
    </cfRule>
    <cfRule type="expression" dxfId="573" priority="25">
      <formula>AND($D246&lt;&gt;"中国",$E246&lt;&gt;"※地域を選択")</formula>
    </cfRule>
  </conditionalFormatting>
  <conditionalFormatting sqref="E257">
    <cfRule type="expression" dxfId="572" priority="17">
      <formula>AND($D257&lt;&gt;"中国",$E257&lt;&gt;"※地域を選択")</formula>
    </cfRule>
    <cfRule type="expression" dxfId="571" priority="16">
      <formula>AND($D257="中国",$E257="※地域を選択")</formula>
    </cfRule>
    <cfRule type="expression" dxfId="570" priority="14">
      <formula>AND($D257&lt;&gt;"中国",$E257="※地域を選択")</formula>
    </cfRule>
    <cfRule type="containsBlanks" dxfId="569" priority="13">
      <formula>LEN(TRIM(E257))=0</formula>
    </cfRule>
  </conditionalFormatting>
  <conditionalFormatting sqref="E268">
    <cfRule type="containsBlanks" dxfId="568" priority="5">
      <formula>LEN(TRIM(E268))=0</formula>
    </cfRule>
    <cfRule type="expression" dxfId="567" priority="9">
      <formula>AND($D268&lt;&gt;"中国",$E268&lt;&gt;"※地域を選択")</formula>
    </cfRule>
    <cfRule type="expression" dxfId="566" priority="8">
      <formula>AND($D268="中国",$E268="※地域を選択")</formula>
    </cfRule>
    <cfRule type="expression" dxfId="565" priority="6">
      <formula>AND($D268&lt;&gt;"中国",$E268="※地域を選択")</formula>
    </cfRule>
  </conditionalFormatting>
  <conditionalFormatting sqref="F4">
    <cfRule type="cellIs" dxfId="564" priority="469" operator="equal">
      <formula>"登録番号"</formula>
    </cfRule>
  </conditionalFormatting>
  <conditionalFormatting sqref="F15">
    <cfRule type="cellIs" dxfId="563" priority="194" operator="equal">
      <formula>"登録番号"</formula>
    </cfRule>
  </conditionalFormatting>
  <conditionalFormatting sqref="F26">
    <cfRule type="cellIs" dxfId="562" priority="186" operator="equal">
      <formula>"登録番号"</formula>
    </cfRule>
  </conditionalFormatting>
  <conditionalFormatting sqref="F37">
    <cfRule type="cellIs" dxfId="561" priority="178" operator="equal">
      <formula>"登録番号"</formula>
    </cfRule>
  </conditionalFormatting>
  <conditionalFormatting sqref="F48">
    <cfRule type="cellIs" dxfId="560" priority="170" operator="equal">
      <formula>"登録番号"</formula>
    </cfRule>
  </conditionalFormatting>
  <conditionalFormatting sqref="F59">
    <cfRule type="cellIs" dxfId="559" priority="162" operator="equal">
      <formula>"登録番号"</formula>
    </cfRule>
  </conditionalFormatting>
  <conditionalFormatting sqref="F70">
    <cfRule type="cellIs" dxfId="558" priority="154" operator="equal">
      <formula>"登録番号"</formula>
    </cfRule>
  </conditionalFormatting>
  <conditionalFormatting sqref="F81">
    <cfRule type="cellIs" dxfId="557" priority="146" operator="equal">
      <formula>"登録番号"</formula>
    </cfRule>
  </conditionalFormatting>
  <conditionalFormatting sqref="F92">
    <cfRule type="cellIs" dxfId="556" priority="138" operator="equal">
      <formula>"登録番号"</formula>
    </cfRule>
  </conditionalFormatting>
  <conditionalFormatting sqref="F103">
    <cfRule type="cellIs" dxfId="555" priority="130" operator="equal">
      <formula>"登録番号"</formula>
    </cfRule>
  </conditionalFormatting>
  <conditionalFormatting sqref="F114">
    <cfRule type="cellIs" dxfId="554" priority="122" operator="equal">
      <formula>"登録番号"</formula>
    </cfRule>
  </conditionalFormatting>
  <conditionalFormatting sqref="F125">
    <cfRule type="cellIs" dxfId="553" priority="114" operator="equal">
      <formula>"登録番号"</formula>
    </cfRule>
  </conditionalFormatting>
  <conditionalFormatting sqref="F136">
    <cfRule type="cellIs" dxfId="552" priority="106" operator="equal">
      <formula>"登録番号"</formula>
    </cfRule>
  </conditionalFormatting>
  <conditionalFormatting sqref="F147">
    <cfRule type="cellIs" dxfId="551" priority="98" operator="equal">
      <formula>"登録番号"</formula>
    </cfRule>
  </conditionalFormatting>
  <conditionalFormatting sqref="F158">
    <cfRule type="cellIs" dxfId="550" priority="90" operator="equal">
      <formula>"登録番号"</formula>
    </cfRule>
  </conditionalFormatting>
  <conditionalFormatting sqref="F169">
    <cfRule type="cellIs" dxfId="549" priority="82" operator="equal">
      <formula>"登録番号"</formula>
    </cfRule>
  </conditionalFormatting>
  <conditionalFormatting sqref="F180">
    <cfRule type="cellIs" dxfId="548" priority="74" operator="equal">
      <formula>"登録番号"</formula>
    </cfRule>
  </conditionalFormatting>
  <conditionalFormatting sqref="F191">
    <cfRule type="cellIs" dxfId="547" priority="66" operator="equal">
      <formula>"登録番号"</formula>
    </cfRule>
  </conditionalFormatting>
  <conditionalFormatting sqref="F202">
    <cfRule type="cellIs" dxfId="546" priority="58" operator="equal">
      <formula>"登録番号"</formula>
    </cfRule>
  </conditionalFormatting>
  <conditionalFormatting sqref="F213">
    <cfRule type="cellIs" dxfId="545" priority="50" operator="equal">
      <formula>"登録番号"</formula>
    </cfRule>
  </conditionalFormatting>
  <conditionalFormatting sqref="F224">
    <cfRule type="cellIs" dxfId="544" priority="42" operator="equal">
      <formula>"登録番号"</formula>
    </cfRule>
  </conditionalFormatting>
  <conditionalFormatting sqref="F235">
    <cfRule type="cellIs" dxfId="543" priority="34" operator="equal">
      <formula>"登録番号"</formula>
    </cfRule>
  </conditionalFormatting>
  <conditionalFormatting sqref="F246">
    <cfRule type="cellIs" dxfId="542" priority="26" operator="equal">
      <formula>"登録番号"</formula>
    </cfRule>
  </conditionalFormatting>
  <conditionalFormatting sqref="F257">
    <cfRule type="cellIs" dxfId="541" priority="18" operator="equal">
      <formula>"登録番号"</formula>
    </cfRule>
  </conditionalFormatting>
  <conditionalFormatting sqref="F268">
    <cfRule type="cellIs" dxfId="540" priority="10" operator="equal">
      <formula>"登録番号"</formula>
    </cfRule>
  </conditionalFormatting>
  <conditionalFormatting sqref="G4">
    <cfRule type="expression" dxfId="539" priority="470">
      <formula>AND($E4="香港・マカオ以外",$G4="")</formula>
    </cfRule>
    <cfRule type="expression" dxfId="538" priority="380">
      <formula>AND($E4&lt;&gt;"香港・マカオ以外",$G4&lt;&gt;"")</formula>
    </cfRule>
  </conditionalFormatting>
  <conditionalFormatting sqref="G15">
    <cfRule type="expression" dxfId="537" priority="195">
      <formula>AND($E15="香港・マカオ以外",$G15="")</formula>
    </cfRule>
    <cfRule type="expression" dxfId="536" priority="191">
      <formula>AND($E15&lt;&gt;"香港・マカオ以外",$G15&lt;&gt;"")</formula>
    </cfRule>
  </conditionalFormatting>
  <conditionalFormatting sqref="G26">
    <cfRule type="expression" dxfId="535" priority="187">
      <formula>AND($E26="香港・マカオ以外",$G26="")</formula>
    </cfRule>
    <cfRule type="expression" dxfId="534" priority="183">
      <formula>AND($E26&lt;&gt;"香港・マカオ以外",$G26&lt;&gt;"")</formula>
    </cfRule>
  </conditionalFormatting>
  <conditionalFormatting sqref="G37">
    <cfRule type="expression" dxfId="533" priority="179">
      <formula>AND($E37="香港・マカオ以外",$G37="")</formula>
    </cfRule>
    <cfRule type="expression" dxfId="532" priority="175">
      <formula>AND($E37&lt;&gt;"香港・マカオ以外",$G37&lt;&gt;"")</formula>
    </cfRule>
  </conditionalFormatting>
  <conditionalFormatting sqref="G48">
    <cfRule type="expression" dxfId="531" priority="167">
      <formula>AND($E48&lt;&gt;"香港・マカオ以外",$G48&lt;&gt;"")</formula>
    </cfRule>
    <cfRule type="expression" dxfId="530" priority="171">
      <formula>AND($E48="香港・マカオ以外",$G48="")</formula>
    </cfRule>
  </conditionalFormatting>
  <conditionalFormatting sqref="G59">
    <cfRule type="expression" dxfId="529" priority="159">
      <formula>AND($E59&lt;&gt;"香港・マカオ以外",$G59&lt;&gt;"")</formula>
    </cfRule>
    <cfRule type="expression" dxfId="528" priority="163">
      <formula>AND($E59="香港・マカオ以外",$G59="")</formula>
    </cfRule>
  </conditionalFormatting>
  <conditionalFormatting sqref="G70">
    <cfRule type="expression" dxfId="527" priority="155">
      <formula>AND($E70="香港・マカオ以外",$G70="")</formula>
    </cfRule>
    <cfRule type="expression" dxfId="526" priority="151">
      <formula>AND($E70&lt;&gt;"香港・マカオ以外",$G70&lt;&gt;"")</formula>
    </cfRule>
  </conditionalFormatting>
  <conditionalFormatting sqref="G81">
    <cfRule type="expression" dxfId="525" priority="147">
      <formula>AND($E81="香港・マカオ以外",$G81="")</formula>
    </cfRule>
    <cfRule type="expression" dxfId="524" priority="143">
      <formula>AND($E81&lt;&gt;"香港・マカオ以外",$G81&lt;&gt;"")</formula>
    </cfRule>
  </conditionalFormatting>
  <conditionalFormatting sqref="G92">
    <cfRule type="expression" dxfId="523" priority="139">
      <formula>AND($E92="香港・マカオ以外",$G92="")</formula>
    </cfRule>
    <cfRule type="expression" dxfId="522" priority="135">
      <formula>AND($E92&lt;&gt;"香港・マカオ以外",$G92&lt;&gt;"")</formula>
    </cfRule>
  </conditionalFormatting>
  <conditionalFormatting sqref="G103">
    <cfRule type="expression" dxfId="521" priority="131">
      <formula>AND($E103="香港・マカオ以外",$G103="")</formula>
    </cfRule>
    <cfRule type="expression" dxfId="520" priority="127">
      <formula>AND($E103&lt;&gt;"香港・マカオ以外",$G103&lt;&gt;"")</formula>
    </cfRule>
  </conditionalFormatting>
  <conditionalFormatting sqref="G114">
    <cfRule type="expression" dxfId="519" priority="123">
      <formula>AND($E114="香港・マカオ以外",$G114="")</formula>
    </cfRule>
    <cfRule type="expression" dxfId="518" priority="119">
      <formula>AND($E114&lt;&gt;"香港・マカオ以外",$G114&lt;&gt;"")</formula>
    </cfRule>
  </conditionalFormatting>
  <conditionalFormatting sqref="G125">
    <cfRule type="expression" dxfId="517" priority="115">
      <formula>AND($E125="香港・マカオ以外",$G125="")</formula>
    </cfRule>
    <cfRule type="expression" dxfId="516" priority="111">
      <formula>AND($E125&lt;&gt;"香港・マカオ以外",$G125&lt;&gt;"")</formula>
    </cfRule>
  </conditionalFormatting>
  <conditionalFormatting sqref="G136">
    <cfRule type="expression" dxfId="515" priority="107">
      <formula>AND($E136="香港・マカオ以外",$G136="")</formula>
    </cfRule>
    <cfRule type="expression" dxfId="514" priority="103">
      <formula>AND($E136&lt;&gt;"香港・マカオ以外",$G136&lt;&gt;"")</formula>
    </cfRule>
  </conditionalFormatting>
  <conditionalFormatting sqref="G147">
    <cfRule type="expression" dxfId="513" priority="99">
      <formula>AND($E147="香港・マカオ以外",$G147="")</formula>
    </cfRule>
    <cfRule type="expression" dxfId="512" priority="95">
      <formula>AND($E147&lt;&gt;"香港・マカオ以外",$G147&lt;&gt;"")</formula>
    </cfRule>
  </conditionalFormatting>
  <conditionalFormatting sqref="G158">
    <cfRule type="expression" dxfId="511" priority="91">
      <formula>AND($E158="香港・マカオ以外",$G158="")</formula>
    </cfRule>
    <cfRule type="expression" dxfId="510" priority="87">
      <formula>AND($E158&lt;&gt;"香港・マカオ以外",$G158&lt;&gt;"")</formula>
    </cfRule>
  </conditionalFormatting>
  <conditionalFormatting sqref="G169">
    <cfRule type="expression" dxfId="509" priority="79">
      <formula>AND($E169&lt;&gt;"香港・マカオ以外",$G169&lt;&gt;"")</formula>
    </cfRule>
    <cfRule type="expression" dxfId="508" priority="83">
      <formula>AND($E169="香港・マカオ以外",$G169="")</formula>
    </cfRule>
  </conditionalFormatting>
  <conditionalFormatting sqref="G180">
    <cfRule type="expression" dxfId="507" priority="71">
      <formula>AND($E180&lt;&gt;"香港・マカオ以外",$G180&lt;&gt;"")</formula>
    </cfRule>
    <cfRule type="expression" dxfId="506" priority="75">
      <formula>AND($E180="香港・マカオ以外",$G180="")</formula>
    </cfRule>
  </conditionalFormatting>
  <conditionalFormatting sqref="G191">
    <cfRule type="expression" dxfId="505" priority="67">
      <formula>AND($E191="香港・マカオ以外",$G191="")</formula>
    </cfRule>
    <cfRule type="expression" dxfId="504" priority="63">
      <formula>AND($E191&lt;&gt;"香港・マカオ以外",$G191&lt;&gt;"")</formula>
    </cfRule>
  </conditionalFormatting>
  <conditionalFormatting sqref="G202">
    <cfRule type="expression" dxfId="503" priority="59">
      <formula>AND($E202="香港・マカオ以外",$G202="")</formula>
    </cfRule>
    <cfRule type="expression" dxfId="502" priority="55">
      <formula>AND($E202&lt;&gt;"香港・マカオ以外",$G202&lt;&gt;"")</formula>
    </cfRule>
  </conditionalFormatting>
  <conditionalFormatting sqref="G213">
    <cfRule type="expression" dxfId="501" priority="47">
      <formula>AND($E213&lt;&gt;"香港・マカオ以外",$G213&lt;&gt;"")</formula>
    </cfRule>
    <cfRule type="expression" dxfId="500" priority="51">
      <formula>AND($E213="香港・マカオ以外",$G213="")</formula>
    </cfRule>
  </conditionalFormatting>
  <conditionalFormatting sqref="G224">
    <cfRule type="expression" dxfId="499" priority="43">
      <formula>AND($E224="香港・マカオ以外",$G224="")</formula>
    </cfRule>
    <cfRule type="expression" dxfId="498" priority="39">
      <formula>AND($E224&lt;&gt;"香港・マカオ以外",$G224&lt;&gt;"")</formula>
    </cfRule>
  </conditionalFormatting>
  <conditionalFormatting sqref="G235">
    <cfRule type="expression" dxfId="497" priority="35">
      <formula>AND($E235="香港・マカオ以外",$G235="")</formula>
    </cfRule>
    <cfRule type="expression" dxfId="496" priority="31">
      <formula>AND($E235&lt;&gt;"香港・マカオ以外",$G235&lt;&gt;"")</formula>
    </cfRule>
  </conditionalFormatting>
  <conditionalFormatting sqref="G246">
    <cfRule type="expression" dxfId="495" priority="23">
      <formula>AND($E246&lt;&gt;"香港・マカオ以外",$G246&lt;&gt;"")</formula>
    </cfRule>
    <cfRule type="expression" dxfId="494" priority="27">
      <formula>AND($E246="香港・マカオ以外",$G246="")</formula>
    </cfRule>
  </conditionalFormatting>
  <conditionalFormatting sqref="G257">
    <cfRule type="expression" dxfId="493" priority="15">
      <formula>AND($E257&lt;&gt;"香港・マカオ以外",$G257&lt;&gt;"")</formula>
    </cfRule>
    <cfRule type="expression" dxfId="492" priority="19">
      <formula>AND($E257="香港・マカオ以外",$G257="")</formula>
    </cfRule>
  </conditionalFormatting>
  <conditionalFormatting sqref="G268">
    <cfRule type="expression" dxfId="491" priority="11">
      <formula>AND($E268="香港・マカオ以外",$G268="")</formula>
    </cfRule>
    <cfRule type="expression" dxfId="490" priority="7">
      <formula>AND($E268&lt;&gt;"香港・マカオ以外",$G268&lt;&gt;"")</formula>
    </cfRule>
  </conditionalFormatting>
  <dataValidations count="5">
    <dataValidation type="list" allowBlank="1" showInputMessage="1" showErrorMessage="1" sqref="D213 D224 D202 D4 D235 D246 D257 D15 D26 D37 D48 D59 D70 D81 D92 D103 D114 D125 D136 D147 D158 D169 D180 D191 D268" xr:uid="{05BA44BD-2D53-48FE-AEAB-2314E1928224}">
      <formula1>国・地域リスト</formula1>
    </dataValidation>
    <dataValidation imeMode="off" allowBlank="1" showInputMessage="1" showErrorMessage="1" sqref="D272:G272 D277:G277 D270:G270 D261:G261 D266:G266 D259:G259 D250:G250 D255:G255 D248:G248 D239:G239 D244:G244 D237:G237 D228:G228 D233:G233 D226:G226 D217:G217 D222:G222 D215:G215 D206:G206 D211:G211 D204:G204 D195:G195 D200:G200 D193:G193 D184:G184 D189:G189 D182:G182 D173:G173 D178:G178 D171:G171 D162:G162 D167:G167 D160:G160 D151:G151 D156:G156 D149:G149 D140:G140 D145:G145 D138:G138 D129:G129 D134:G134 D127:G127 D118:G118 D123:G123 D116:G116 D107:G107 D112:G112 D105:G105 D96:G96 D101:G101 D94:G94 D85:G85 D90:G90 D83:G83 D74:G74 D79:G79 D72:G72 D63:G63 D68:G68 D61:G61 D52:G52 D57:G57 D50:G50 D41:G41 D46:G46 D39:G39 D30:G30 D35:G35 D28:G28 D19:G19 D24:G24 D17:G17 D8:G8 D13:G13 D6:G6" xr:uid="{5CCD9164-A40A-43C1-A143-F02D53318775}"/>
    <dataValidation imeMode="on" allowBlank="1" showInputMessage="1" showErrorMessage="1" sqref="D273:G273 D271:G271 D269:G269 D262:G262 D260:G260 D258:G258 D251:G251 D249:G249 D247:G247 D240:G240 D238:G238 D236:G236 D229:G229 D227:G227 D225:G225 D218:G218 D216:G216 D214:G214 D207:G207 D205:G205 D203:G203 D196:G196 D194:G194 D192:G192 D185:G185 D183:G183 D181:G181 D174:G174 D172:G172 D170:G170 D163:G163 D161:G161 D159:G159 D152:G152 D150:G150 D148:G148 D141:G141 D139:G139 D137:G137 D130:G130 D128:G128 D126:G126 D119:G119 D117:G117 D115:G115 D108:G108 D106:G106 D104:G104 D97:G97 D95:G95 D93:G93 D86:G86 D84:G84 D82:G82 D75:G75 D73:G73 D71:G71 D64:G64 D62:G62 D60:G60 D53:G53 D51:G51 D49:G49 D42:G42 D40:G40 D27:G27 D31:G31 D29:G29 D16:G16 D20:G20 D18:G18 D38:G38 D9:G9 D7:G7 D5:G5" xr:uid="{3BD25EFE-DB49-4878-8320-DE976AFC7C9C}"/>
    <dataValidation type="list" allowBlank="1" showInputMessage="1" showErrorMessage="1" sqref="E268 E70 E257 E15 E26 E37 E48 E59 E81 E92 E103 E114 E125 E136 E147 E158 E169 E180 E191 E202 E213 E224 E235 E246 E4" xr:uid="{F6347487-C906-4117-8B05-7EFC5E510CD7}">
      <formula1>"※地域を選択,香港・マカオ,香港・マカオ以外"</formula1>
    </dataValidation>
    <dataValidation imeMode="halfAlpha" allowBlank="1" showInputMessage="1" showErrorMessage="1" sqref="G4 G70 G257 G15 G26 G37 G48 G59 G81 G92 G103 G114 G125 G136 G147 G158 G169 G180 G191 G202 G213 G224 G235 G246 G268" xr:uid="{1225C3F5-F8A2-4C1B-B90F-4F065BF26D5A}"/>
  </dataValidations>
  <printOptions horizontalCentered="1"/>
  <pageMargins left="0.59055118110236227" right="0.59055118110236227" top="0.59055118110236227" bottom="0.39370078740157483" header="0.19685039370078741" footer="0.19685039370078741"/>
  <pageSetup paperSize="9" scale="84" fitToHeight="0" orientation="portrait" r:id="rId1"/>
  <headerFooter>
    <oddHeader>&amp;C&amp;9&amp;F</oddHeader>
    <oddFooter>&amp;C&amp;10&amp;P/&amp;N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93388-3770-49C0-9273-AD908BE6686C}">
  <sheetPr codeName="Sheet3">
    <pageSetUpPr fitToPage="1"/>
  </sheetPr>
  <dimension ref="A1:S52"/>
  <sheetViews>
    <sheetView showGridLines="0" showZeros="0" zoomScaleNormal="100" zoomScaleSheetLayoutView="100" workbookViewId="0"/>
  </sheetViews>
  <sheetFormatPr defaultColWidth="0" defaultRowHeight="15.75"/>
  <cols>
    <col min="1" max="1" width="2.77734375" style="324" customWidth="1"/>
    <col min="2" max="2" width="10.77734375" style="324" customWidth="1"/>
    <col min="3" max="3" width="17.77734375" style="324" customWidth="1"/>
    <col min="4" max="4" width="7.77734375" style="324" customWidth="1"/>
    <col min="5" max="12" width="6.33203125" style="324" customWidth="1"/>
    <col min="13" max="13" width="1.33203125" style="324" customWidth="1"/>
    <col min="14" max="14" width="1" style="324" customWidth="1"/>
    <col min="15" max="15" width="5" style="363" bestFit="1" customWidth="1"/>
    <col min="16" max="16" width="51.5546875" style="324" customWidth="1"/>
    <col min="17" max="17" width="1.6640625" style="324" customWidth="1"/>
    <col min="18" max="18" width="39.88671875" hidden="1" customWidth="1"/>
    <col min="19" max="19" width="39.88671875" style="324" hidden="1" customWidth="1"/>
    <col min="20" max="16384" width="9.109375" style="324" hidden="1"/>
  </cols>
  <sheetData>
    <row r="1" spans="1:17" customFormat="1" ht="15.75" customHeight="1">
      <c r="A1" s="39"/>
      <c r="L1" s="33" t="str">
        <f>'1)受入れ機関概要'!G1</f>
        <v>Ver.2501</v>
      </c>
      <c r="M1" s="33"/>
      <c r="N1" s="368"/>
      <c r="O1" s="744" t="s">
        <v>550</v>
      </c>
      <c r="P1" s="744"/>
      <c r="Q1" s="744"/>
    </row>
    <row r="2" spans="1:17" customFormat="1" ht="18" customHeight="1">
      <c r="A2" s="573" t="s">
        <v>24</v>
      </c>
      <c r="B2" s="574"/>
      <c r="C2" s="574"/>
      <c r="D2" s="574"/>
      <c r="E2" s="574"/>
      <c r="F2" s="574"/>
      <c r="G2" s="574"/>
      <c r="H2" s="574"/>
      <c r="I2" s="574"/>
      <c r="J2" s="574"/>
      <c r="K2" s="574"/>
      <c r="L2" s="575"/>
      <c r="M2" s="98"/>
      <c r="N2" s="368"/>
      <c r="O2" s="363"/>
      <c r="P2" s="688" t="s">
        <v>556</v>
      </c>
      <c r="Q2" s="324"/>
    </row>
    <row r="3" spans="1:17" customFormat="1" ht="16.5" customHeight="1">
      <c r="A3" s="693" t="s">
        <v>266</v>
      </c>
      <c r="B3" s="694"/>
      <c r="C3" s="694"/>
      <c r="D3" s="694"/>
      <c r="E3" s="694"/>
      <c r="F3" s="694"/>
      <c r="G3" s="694"/>
      <c r="H3" s="694"/>
      <c r="I3" s="694"/>
      <c r="J3" s="694"/>
      <c r="K3" s="694"/>
      <c r="L3" s="695"/>
      <c r="M3" s="358"/>
      <c r="N3" s="368"/>
      <c r="O3" s="745" t="s">
        <v>555</v>
      </c>
      <c r="P3" s="688"/>
      <c r="Q3" s="324"/>
    </row>
    <row r="4" spans="1:17" customFormat="1" ht="15" customHeight="1" thickBot="1">
      <c r="A4" s="74"/>
      <c r="B4" s="75" t="s">
        <v>89</v>
      </c>
      <c r="C4" s="709" t="s">
        <v>78</v>
      </c>
      <c r="D4" s="710"/>
      <c r="E4" s="148" t="s">
        <v>12</v>
      </c>
      <c r="F4" s="149" t="s">
        <v>13</v>
      </c>
      <c r="G4" s="149" t="s">
        <v>14</v>
      </c>
      <c r="H4" s="149" t="s">
        <v>15</v>
      </c>
      <c r="I4" s="149" t="s">
        <v>16</v>
      </c>
      <c r="J4" s="149" t="s">
        <v>17</v>
      </c>
      <c r="K4" s="150" t="s">
        <v>18</v>
      </c>
      <c r="L4" s="43" t="s">
        <v>19</v>
      </c>
      <c r="M4" s="359"/>
      <c r="N4" s="368"/>
      <c r="O4" s="745"/>
      <c r="P4" s="688"/>
      <c r="Q4" s="324"/>
    </row>
    <row r="5" spans="1:17" customFormat="1" ht="13.5" customHeight="1" thickTop="1">
      <c r="A5" s="71" t="str">
        <f>IF(B5="","",'2)送出し機関概要'!B3)</f>
        <v/>
      </c>
      <c r="B5" s="76" t="str">
        <f>IF(OR('2)送出し機関概要'!D4="※選択してください",'2)送出し機関概要'!D4=""),"",'2)送出し機関概要'!D4)</f>
        <v/>
      </c>
      <c r="C5" s="711" t="str">
        <f>IF(OR('2)送出し機関概要'!D5="(日本語)",'2)送出し機関概要'!D5=""),"",'2)送出し機関概要'!D5)</f>
        <v/>
      </c>
      <c r="D5" s="712"/>
      <c r="E5" s="48"/>
      <c r="F5" s="29"/>
      <c r="G5" s="29"/>
      <c r="H5" s="29"/>
      <c r="I5" s="29"/>
      <c r="J5" s="29"/>
      <c r="K5" s="44"/>
      <c r="L5" s="42">
        <f t="shared" ref="L5:L29" si="0">SUM(E5:K5)</f>
        <v>0</v>
      </c>
      <c r="M5" s="360"/>
      <c r="N5" s="368"/>
      <c r="O5" s="367" t="str">
        <f>IF(C5="","ｰ",IF((COUNTIF('8)招へい者リスト'!$I$19:$I$30,C5))=L5,"○","×"))</f>
        <v>ｰ</v>
      </c>
      <c r="P5" s="688"/>
      <c r="Q5" s="324"/>
    </row>
    <row r="6" spans="1:17" customFormat="1" ht="13.5" customHeight="1">
      <c r="A6" s="110" t="str">
        <f>IF(B6="","",'2)送出し機関概要'!B14)</f>
        <v/>
      </c>
      <c r="B6" s="231" t="str">
        <f>IF(OR('2)送出し機関概要'!D15="※選択してください",'2)送出し機関概要'!D15=""),"",'2)送出し機関概要'!D15)</f>
        <v/>
      </c>
      <c r="C6" s="705" t="str">
        <f>IF(OR('2)送出し機関概要'!D16="(日本語)",'2)送出し機関概要'!D16=""),"",'2)送出し機関概要'!D16)</f>
        <v/>
      </c>
      <c r="D6" s="706"/>
      <c r="E6" s="111"/>
      <c r="F6" s="112"/>
      <c r="G6" s="112"/>
      <c r="H6" s="112"/>
      <c r="I6" s="112"/>
      <c r="J6" s="112"/>
      <c r="K6" s="113"/>
      <c r="L6" s="114">
        <f t="shared" si="0"/>
        <v>0</v>
      </c>
      <c r="M6" s="360"/>
      <c r="N6" s="368"/>
      <c r="O6" s="367" t="str">
        <f>IF(C6="","ｰ",IF((COUNTIF('8)招へい者リスト'!$I$19:$I$30,C6))=L6,"○","×"))</f>
        <v>ｰ</v>
      </c>
      <c r="P6" s="688"/>
      <c r="Q6" s="324"/>
    </row>
    <row r="7" spans="1:17" customFormat="1" ht="13.5" customHeight="1">
      <c r="A7" s="72" t="str">
        <f>IF(B7="","",'2)送出し機関概要'!B25)</f>
        <v/>
      </c>
      <c r="B7" s="76" t="str">
        <f>IF(OR('2)送出し機関概要'!D26="※選択してください",'2)送出し機関概要'!D26=""),"",'2)送出し機関概要'!D26)</f>
        <v/>
      </c>
      <c r="C7" s="707" t="str">
        <f>IF(OR('2)送出し機関概要'!D27="(日本語)",'2)送出し機関概要'!D27=""),"",'2)送出し機関概要'!D27)</f>
        <v/>
      </c>
      <c r="D7" s="708"/>
      <c r="E7" s="48"/>
      <c r="F7" s="29"/>
      <c r="G7" s="29"/>
      <c r="H7" s="29"/>
      <c r="I7" s="29"/>
      <c r="J7" s="29"/>
      <c r="K7" s="44"/>
      <c r="L7" s="42">
        <f t="shared" si="0"/>
        <v>0</v>
      </c>
      <c r="M7" s="360"/>
      <c r="N7" s="368"/>
      <c r="O7" s="367" t="str">
        <f>IF(C7="","ｰ",IF((COUNTIF('8)招へい者リスト'!$I$19:$I$30,C7))=L7,"○","×"))</f>
        <v>ｰ</v>
      </c>
      <c r="P7" s="324"/>
      <c r="Q7" s="324"/>
    </row>
    <row r="8" spans="1:17" customFormat="1" ht="13.5" customHeight="1">
      <c r="A8" s="110" t="str">
        <f>IF(B8="","",'2)送出し機関概要'!B36)</f>
        <v/>
      </c>
      <c r="B8" s="231" t="str">
        <f>IF(OR('2)送出し機関概要'!D37="※選択してください",'2)送出し機関概要'!D37=""),"",'2)送出し機関概要'!D37)</f>
        <v/>
      </c>
      <c r="C8" s="705" t="str">
        <f>IF(OR('2)送出し機関概要'!D38="(日本語)",'2)送出し機関概要'!D38=""),"",'2)送出し機関概要'!D38)</f>
        <v/>
      </c>
      <c r="D8" s="706"/>
      <c r="E8" s="111"/>
      <c r="F8" s="112"/>
      <c r="G8" s="112"/>
      <c r="H8" s="112"/>
      <c r="I8" s="112"/>
      <c r="J8" s="112"/>
      <c r="K8" s="113"/>
      <c r="L8" s="114">
        <f t="shared" si="0"/>
        <v>0</v>
      </c>
      <c r="M8" s="360"/>
      <c r="N8" s="368"/>
      <c r="O8" s="367" t="str">
        <f>IF(C8="","ｰ",IF((COUNTIF('8)招へい者リスト'!$I$19:$I$30,C8))=L8,"○","×"))</f>
        <v>ｰ</v>
      </c>
      <c r="P8" s="324"/>
      <c r="Q8" s="324"/>
    </row>
    <row r="9" spans="1:17" customFormat="1" ht="13.5" customHeight="1">
      <c r="A9" s="72" t="str">
        <f>IF(B9="","",'2)送出し機関概要'!B47)</f>
        <v/>
      </c>
      <c r="B9" s="76" t="str">
        <f>IF(OR('2)送出し機関概要'!D48="※選択してください",'2)送出し機関概要'!D48=""),"",'2)送出し機関概要'!D48)</f>
        <v/>
      </c>
      <c r="C9" s="707" t="str">
        <f>IF(OR('2)送出し機関概要'!D49="(日本語)",'2)送出し機関概要'!D49=""),"",'2)送出し機関概要'!D49)</f>
        <v/>
      </c>
      <c r="D9" s="708"/>
      <c r="E9" s="48"/>
      <c r="F9" s="29"/>
      <c r="G9" s="29"/>
      <c r="H9" s="29"/>
      <c r="I9" s="29"/>
      <c r="J9" s="29"/>
      <c r="K9" s="44"/>
      <c r="L9" s="42">
        <f t="shared" si="0"/>
        <v>0</v>
      </c>
      <c r="M9" s="360"/>
      <c r="N9" s="368"/>
      <c r="O9" s="367" t="str">
        <f>IF(C9="","ｰ",IF((COUNTIF('8)招へい者リスト'!$I$19:$I$30,C9))=L9,"○","×"))</f>
        <v>ｰ</v>
      </c>
      <c r="P9" s="324"/>
      <c r="Q9" s="324"/>
    </row>
    <row r="10" spans="1:17" customFormat="1" ht="13.5" customHeight="1">
      <c r="A10" s="110" t="str">
        <f>IF(B10="","",'2)送出し機関概要'!B58)</f>
        <v/>
      </c>
      <c r="B10" s="231" t="str">
        <f>IF(OR('2)送出し機関概要'!D59="※選択してください",'2)送出し機関概要'!D59=""),"",'2)送出し機関概要'!D59)</f>
        <v/>
      </c>
      <c r="C10" s="705" t="str">
        <f>IF(OR('2)送出し機関概要'!D60="(日本語)",'2)送出し機関概要'!D60=""),"",'2)送出し機関概要'!D60)</f>
        <v/>
      </c>
      <c r="D10" s="706"/>
      <c r="E10" s="111"/>
      <c r="F10" s="112"/>
      <c r="G10" s="112"/>
      <c r="H10" s="112"/>
      <c r="I10" s="112"/>
      <c r="J10" s="112"/>
      <c r="K10" s="113"/>
      <c r="L10" s="114">
        <f t="shared" si="0"/>
        <v>0</v>
      </c>
      <c r="M10" s="360"/>
      <c r="N10" s="368"/>
      <c r="O10" s="367" t="str">
        <f>IF(C10="","ｰ",IF((COUNTIF('8)招へい者リスト'!$I$19:$I$30,C10))=L10,"○","×"))</f>
        <v>ｰ</v>
      </c>
      <c r="P10" s="324"/>
      <c r="Q10" s="324"/>
    </row>
    <row r="11" spans="1:17" customFormat="1" ht="13.5" customHeight="1">
      <c r="A11" s="72" t="str">
        <f>IF(B11="","",'2)送出し機関概要'!B69)</f>
        <v/>
      </c>
      <c r="B11" s="76" t="str">
        <f>IF(OR('2)送出し機関概要'!D70="※選択してください",'2)送出し機関概要'!D70=""),"",'2)送出し機関概要'!D70)</f>
        <v/>
      </c>
      <c r="C11" s="707" t="str">
        <f>IF(OR('2)送出し機関概要'!D71="(日本語)",'2)送出し機関概要'!D71=""),"",'2)送出し機関概要'!D71)</f>
        <v/>
      </c>
      <c r="D11" s="708"/>
      <c r="E11" s="48"/>
      <c r="F11" s="29"/>
      <c r="G11" s="29"/>
      <c r="H11" s="29"/>
      <c r="I11" s="29"/>
      <c r="J11" s="29"/>
      <c r="K11" s="44"/>
      <c r="L11" s="42">
        <f t="shared" si="0"/>
        <v>0</v>
      </c>
      <c r="M11" s="360"/>
      <c r="N11" s="368"/>
      <c r="O11" s="367" t="str">
        <f>IF(C11="","ｰ",IF((COUNTIF('8)招へい者リスト'!$I$19:$I$30,C11))=L11,"○","×"))</f>
        <v>ｰ</v>
      </c>
      <c r="P11" s="324"/>
      <c r="Q11" s="324"/>
    </row>
    <row r="12" spans="1:17" customFormat="1" ht="13.5" customHeight="1">
      <c r="A12" s="110" t="str">
        <f>IF(B12="","",'2)送出し機関概要'!B80)</f>
        <v/>
      </c>
      <c r="B12" s="231" t="str">
        <f>IF(OR('2)送出し機関概要'!D81="※選択してください",'2)送出し機関概要'!D81=""),"",'2)送出し機関概要'!D81)</f>
        <v/>
      </c>
      <c r="C12" s="705" t="str">
        <f>IF(OR('2)送出し機関概要'!D82="(日本語)",'2)送出し機関概要'!D82=""),"",'2)送出し機関概要'!D82)</f>
        <v/>
      </c>
      <c r="D12" s="706"/>
      <c r="E12" s="111"/>
      <c r="F12" s="112"/>
      <c r="G12" s="112"/>
      <c r="H12" s="112"/>
      <c r="I12" s="112"/>
      <c r="J12" s="112"/>
      <c r="K12" s="113"/>
      <c r="L12" s="114">
        <f t="shared" si="0"/>
        <v>0</v>
      </c>
      <c r="M12" s="360"/>
      <c r="N12" s="368"/>
      <c r="O12" s="367" t="str">
        <f>IF(C12="","ｰ",IF((COUNTIF('8)招へい者リスト'!$I$19:$I$30,C12))=L12,"○","×"))</f>
        <v>ｰ</v>
      </c>
      <c r="P12" s="324"/>
      <c r="Q12" s="324"/>
    </row>
    <row r="13" spans="1:17" customFormat="1" ht="13.5" customHeight="1">
      <c r="A13" s="72" t="str">
        <f>IF(B13="","",'2)送出し機関概要'!B91)</f>
        <v/>
      </c>
      <c r="B13" s="76" t="str">
        <f>IF(OR('2)送出し機関概要'!D92="※選択してください",'2)送出し機関概要'!D92=""),"",'2)送出し機関概要'!D92)</f>
        <v/>
      </c>
      <c r="C13" s="707" t="str">
        <f>IF(OR('2)送出し機関概要'!D93="(日本語)",'2)送出し機関概要'!D93=""),"",'2)送出し機関概要'!D93)</f>
        <v/>
      </c>
      <c r="D13" s="708"/>
      <c r="E13" s="48"/>
      <c r="F13" s="29"/>
      <c r="G13" s="29"/>
      <c r="H13" s="29"/>
      <c r="I13" s="29"/>
      <c r="J13" s="29"/>
      <c r="K13" s="44"/>
      <c r="L13" s="42">
        <f t="shared" si="0"/>
        <v>0</v>
      </c>
      <c r="M13" s="360"/>
      <c r="N13" s="368"/>
      <c r="O13" s="367" t="str">
        <f>IF(C13="","ｰ",IF((COUNTIF('8)招へい者リスト'!$I$19:$I$30,C13))=L13,"○","×"))</f>
        <v>ｰ</v>
      </c>
      <c r="P13" s="324"/>
      <c r="Q13" s="324"/>
    </row>
    <row r="14" spans="1:17" customFormat="1" ht="13.5" customHeight="1">
      <c r="A14" s="110" t="str">
        <f>IF(B14="","",'2)送出し機関概要'!B102)</f>
        <v/>
      </c>
      <c r="B14" s="231" t="str">
        <f>IF(OR('2)送出し機関概要'!D103="※選択してください",'2)送出し機関概要'!D103=""),"",'2)送出し機関概要'!D103)</f>
        <v/>
      </c>
      <c r="C14" s="705" t="str">
        <f>IF(OR('2)送出し機関概要'!D104="(日本語)",'2)送出し機関概要'!D104=""),"",'2)送出し機関概要'!D104)</f>
        <v/>
      </c>
      <c r="D14" s="706"/>
      <c r="E14" s="111"/>
      <c r="F14" s="112"/>
      <c r="G14" s="112"/>
      <c r="H14" s="112"/>
      <c r="I14" s="112"/>
      <c r="J14" s="112"/>
      <c r="K14" s="113"/>
      <c r="L14" s="114">
        <f t="shared" si="0"/>
        <v>0</v>
      </c>
      <c r="M14" s="360"/>
      <c r="N14" s="368"/>
      <c r="O14" s="367" t="str">
        <f>IF(C14="","ｰ",IF((COUNTIF('8)招へい者リスト'!$I$19:$I$30,C14))=L14,"○","×"))</f>
        <v>ｰ</v>
      </c>
      <c r="P14" s="324"/>
      <c r="Q14" s="324"/>
    </row>
    <row r="15" spans="1:17" customFormat="1" ht="13.5" customHeight="1">
      <c r="A15" s="72" t="str">
        <f>IF(B15="","",'2)送出し機関概要'!B113)</f>
        <v/>
      </c>
      <c r="B15" s="76" t="str">
        <f>IF(OR('2)送出し機関概要'!D114="※選択してください",'2)送出し機関概要'!D114=""),"",'2)送出し機関概要'!D114)</f>
        <v/>
      </c>
      <c r="C15" s="707" t="str">
        <f>IF(OR('2)送出し機関概要'!D115="(日本語)",'2)送出し機関概要'!D115=""),"",'2)送出し機関概要'!D115)</f>
        <v/>
      </c>
      <c r="D15" s="708"/>
      <c r="E15" s="48"/>
      <c r="F15" s="29"/>
      <c r="G15" s="29"/>
      <c r="H15" s="29"/>
      <c r="I15" s="29"/>
      <c r="J15" s="29"/>
      <c r="K15" s="44"/>
      <c r="L15" s="42">
        <f t="shared" si="0"/>
        <v>0</v>
      </c>
      <c r="M15" s="360"/>
      <c r="N15" s="368"/>
      <c r="O15" s="367" t="str">
        <f>IF(C15="","ｰ",IF((COUNTIF('8)招へい者リスト'!$I$19:$I$30,C15))=L15,"○","×"))</f>
        <v>ｰ</v>
      </c>
      <c r="P15" s="324"/>
      <c r="Q15" s="324"/>
    </row>
    <row r="16" spans="1:17" customFormat="1" ht="13.5" customHeight="1" thickBot="1">
      <c r="A16" s="110" t="str">
        <f>IF(B16="","",'2)送出し機関概要'!B124)</f>
        <v/>
      </c>
      <c r="B16" s="231" t="str">
        <f>IF(OR('2)送出し機関概要'!D125="※選択してください",'2)送出し機関概要'!D125=""),"",'2)送出し機関概要'!D125)</f>
        <v/>
      </c>
      <c r="C16" s="705" t="str">
        <f>IF(OR('2)送出し機関概要'!D126="(日本語)",'2)送出し機関概要'!D126=""),"",'2)送出し機関概要'!D126)</f>
        <v/>
      </c>
      <c r="D16" s="706"/>
      <c r="E16" s="111"/>
      <c r="F16" s="112"/>
      <c r="G16" s="112"/>
      <c r="H16" s="112"/>
      <c r="I16" s="112"/>
      <c r="J16" s="112"/>
      <c r="K16" s="113"/>
      <c r="L16" s="114">
        <f t="shared" si="0"/>
        <v>0</v>
      </c>
      <c r="M16" s="360"/>
      <c r="N16" s="368"/>
      <c r="O16" s="367" t="str">
        <f>IF(C16="","ｰ",IF((COUNTIF('8)招へい者リスト'!$I$19:$I$30,C16))=L16,"○","×"))</f>
        <v>ｰ</v>
      </c>
      <c r="P16" s="324"/>
      <c r="Q16" s="324"/>
    </row>
    <row r="17" spans="1:17" customFormat="1" ht="13.5" hidden="1" customHeight="1" thickBot="1">
      <c r="A17" s="72" t="str">
        <f>IF(B17="","",'2)送出し機関概要'!B135)</f>
        <v/>
      </c>
      <c r="B17" s="76" t="str">
        <f>IF(OR('2)送出し機関概要'!D136="※選択してください",'2)送出し機関概要'!D136=""),"",'2)送出し機関概要'!D136)</f>
        <v/>
      </c>
      <c r="C17" s="707" t="str">
        <f>IF(OR('2)送出し機関概要'!D137="(日本語)",'2)送出し機関概要'!D137=""),"",'2)送出し機関概要'!D137)</f>
        <v/>
      </c>
      <c r="D17" s="708"/>
      <c r="E17" s="48"/>
      <c r="F17" s="29"/>
      <c r="G17" s="29"/>
      <c r="H17" s="29"/>
      <c r="I17" s="29"/>
      <c r="J17" s="29"/>
      <c r="K17" s="44"/>
      <c r="L17" s="42">
        <f t="shared" si="0"/>
        <v>0</v>
      </c>
      <c r="M17" s="360"/>
      <c r="N17" s="368"/>
      <c r="O17" s="363"/>
      <c r="P17" s="324"/>
      <c r="Q17" s="324"/>
    </row>
    <row r="18" spans="1:17" customFormat="1" ht="13.5" hidden="1" customHeight="1" thickTop="1">
      <c r="A18" s="110" t="str">
        <f>IF(B18="","",'2)送出し機関概要'!B146)</f>
        <v/>
      </c>
      <c r="B18" s="231" t="str">
        <f>IF(OR('2)送出し機関概要'!D147="※選択してください",'2)送出し機関概要'!D147=""),"",'2)送出し機関概要'!D147)</f>
        <v/>
      </c>
      <c r="C18" s="705" t="str">
        <f>IF(OR('2)送出し機関概要'!D148="(日本語)",'2)送出し機関概要'!D148=""),"",'2)送出し機関概要'!D148)</f>
        <v/>
      </c>
      <c r="D18" s="706"/>
      <c r="E18" s="111"/>
      <c r="F18" s="112"/>
      <c r="G18" s="112"/>
      <c r="H18" s="112"/>
      <c r="I18" s="112"/>
      <c r="J18" s="112"/>
      <c r="K18" s="113"/>
      <c r="L18" s="114">
        <f t="shared" si="0"/>
        <v>0</v>
      </c>
      <c r="M18" s="360"/>
      <c r="N18" s="368"/>
      <c r="O18" s="363"/>
      <c r="P18" s="324"/>
      <c r="Q18" s="324"/>
    </row>
    <row r="19" spans="1:17" customFormat="1" ht="13.5" hidden="1" customHeight="1" thickTop="1">
      <c r="A19" s="72" t="str">
        <f>IF(B19="","",'2)送出し機関概要'!B157)</f>
        <v/>
      </c>
      <c r="B19" s="76" t="str">
        <f>IF(OR('2)送出し機関概要'!D158="※選択してください",'2)送出し機関概要'!D158=""),"",'2)送出し機関概要'!D158)</f>
        <v/>
      </c>
      <c r="C19" s="707" t="str">
        <f>IF(OR('2)送出し機関概要'!D159="(日本語)",'2)送出し機関概要'!D159=""),"",'2)送出し機関概要'!D159)</f>
        <v/>
      </c>
      <c r="D19" s="708"/>
      <c r="E19" s="288"/>
      <c r="F19" s="289"/>
      <c r="G19" s="289"/>
      <c r="H19" s="289"/>
      <c r="I19" s="289"/>
      <c r="J19" s="289"/>
      <c r="K19" s="290"/>
      <c r="L19" s="42">
        <f t="shared" si="0"/>
        <v>0</v>
      </c>
      <c r="M19" s="360"/>
      <c r="N19" s="368"/>
      <c r="O19" s="363"/>
      <c r="P19" s="324"/>
      <c r="Q19" s="324"/>
    </row>
    <row r="20" spans="1:17" s="93" customFormat="1" ht="13.5" hidden="1" customHeight="1" thickTop="1">
      <c r="A20" s="110" t="str">
        <f>IF(B20="","",'2)送出し機関概要'!B168)</f>
        <v/>
      </c>
      <c r="B20" s="231" t="str">
        <f>IF(OR('2)送出し機関概要'!D169="※選択してください",'2)送出し機関概要'!D169=""),"",'2)送出し機関概要'!D169)</f>
        <v/>
      </c>
      <c r="C20" s="705" t="str">
        <f>IF(OR('2)送出し機関概要'!D170="(日本語)",'2)送出し機関概要'!D170=""),"",'2)送出し機関概要'!D170)</f>
        <v/>
      </c>
      <c r="D20" s="731"/>
      <c r="E20" s="266"/>
      <c r="F20" s="267"/>
      <c r="G20" s="267"/>
      <c r="H20" s="267"/>
      <c r="I20" s="267"/>
      <c r="J20" s="267"/>
      <c r="K20" s="268"/>
      <c r="L20" s="114">
        <f t="shared" si="0"/>
        <v>0</v>
      </c>
      <c r="M20" s="360"/>
      <c r="N20" s="368"/>
      <c r="O20" s="363"/>
      <c r="P20" s="363"/>
      <c r="Q20" s="363"/>
    </row>
    <row r="21" spans="1:17" s="93" customFormat="1" ht="13.5" hidden="1" customHeight="1" thickTop="1">
      <c r="A21" s="72" t="str">
        <f>IF(B21="","",'2)送出し機関概要'!B179)</f>
        <v/>
      </c>
      <c r="B21" s="76" t="str">
        <f>IF(OR('2)送出し機関概要'!D180="※選択してください",'2)送出し機関概要'!D180=""),"",'2)送出し機関概要'!D180)</f>
        <v/>
      </c>
      <c r="C21" s="707" t="str">
        <f>IF(OR('2)送出し機関概要'!D181="(日本語)",'2)送出し機関概要'!D181=""),"",'2)送出し機関概要'!D181)</f>
        <v/>
      </c>
      <c r="D21" s="740"/>
      <c r="E21" s="269"/>
      <c r="F21" s="270"/>
      <c r="G21" s="270"/>
      <c r="H21" s="270"/>
      <c r="I21" s="270"/>
      <c r="J21" s="270"/>
      <c r="K21" s="271"/>
      <c r="L21" s="42">
        <f t="shared" si="0"/>
        <v>0</v>
      </c>
      <c r="M21" s="360"/>
      <c r="N21" s="368"/>
      <c r="O21" s="363"/>
      <c r="P21" s="363"/>
      <c r="Q21" s="363"/>
    </row>
    <row r="22" spans="1:17" s="93" customFormat="1" ht="13.5" hidden="1" customHeight="1" thickTop="1">
      <c r="A22" s="110" t="str">
        <f>IF(B22="","",'2)送出し機関概要'!B190)</f>
        <v/>
      </c>
      <c r="B22" s="231" t="str">
        <f>IF(OR('2)送出し機関概要'!D191="※選択してください",'2)送出し機関概要'!D191=""),"",'2)送出し機関概要'!D191)</f>
        <v/>
      </c>
      <c r="C22" s="705" t="str">
        <f>IF(OR('2)送出し機関概要'!D192="(日本語)",'2)送出し機関概要'!D192=""),"",'2)送出し機関概要'!D192)</f>
        <v/>
      </c>
      <c r="D22" s="731"/>
      <c r="E22" s="266"/>
      <c r="F22" s="267"/>
      <c r="G22" s="267"/>
      <c r="H22" s="267"/>
      <c r="I22" s="267"/>
      <c r="J22" s="267"/>
      <c r="K22" s="268"/>
      <c r="L22" s="114">
        <f t="shared" si="0"/>
        <v>0</v>
      </c>
      <c r="M22" s="360"/>
      <c r="N22" s="368"/>
      <c r="O22" s="363"/>
      <c r="P22" s="363"/>
      <c r="Q22" s="363"/>
    </row>
    <row r="23" spans="1:17" s="93" customFormat="1" ht="13.5" hidden="1" customHeight="1" thickTop="1">
      <c r="A23" s="72" t="str">
        <f>IF(B23="","",'2)送出し機関概要'!B201)</f>
        <v/>
      </c>
      <c r="B23" s="76" t="str">
        <f>IF(OR('2)送出し機関概要'!D202="※選択してください",'2)送出し機関概要'!D202=""),"",'2)送出し機関概要'!D202)</f>
        <v/>
      </c>
      <c r="C23" s="707" t="str">
        <f>IF(OR('2)送出し機関概要'!D203="(日本語)",'2)送出し機関概要'!D203=""),"",'2)送出し機関概要'!D203)</f>
        <v/>
      </c>
      <c r="D23" s="740"/>
      <c r="E23" s="269"/>
      <c r="F23" s="270"/>
      <c r="G23" s="270"/>
      <c r="H23" s="270"/>
      <c r="I23" s="270"/>
      <c r="J23" s="270"/>
      <c r="K23" s="271"/>
      <c r="L23" s="42">
        <f t="shared" si="0"/>
        <v>0</v>
      </c>
      <c r="M23" s="360"/>
      <c r="N23" s="368"/>
      <c r="O23" s="363"/>
      <c r="P23" s="363"/>
      <c r="Q23" s="363"/>
    </row>
    <row r="24" spans="1:17" s="93" customFormat="1" ht="13.5" hidden="1" customHeight="1" thickTop="1">
      <c r="A24" s="110" t="str">
        <f>IF(B24="","",'2)送出し機関概要'!B212)</f>
        <v/>
      </c>
      <c r="B24" s="231" t="str">
        <f>IF(OR('2)送出し機関概要'!D213="※選択してください",'2)送出し機関概要'!D213=""),"",'2)送出し機関概要'!D213)</f>
        <v/>
      </c>
      <c r="C24" s="705" t="str">
        <f>IF(OR('2)送出し機関概要'!D214="(日本語)",'2)送出し機関概要'!D214=""),"",'2)送出し機関概要'!D214)</f>
        <v/>
      </c>
      <c r="D24" s="731"/>
      <c r="E24" s="266"/>
      <c r="F24" s="267"/>
      <c r="G24" s="267"/>
      <c r="H24" s="267"/>
      <c r="I24" s="267"/>
      <c r="J24" s="267"/>
      <c r="K24" s="268"/>
      <c r="L24" s="114">
        <f t="shared" si="0"/>
        <v>0</v>
      </c>
      <c r="M24" s="360"/>
      <c r="N24" s="368"/>
      <c r="O24" s="363"/>
      <c r="P24" s="363"/>
      <c r="Q24" s="363"/>
    </row>
    <row r="25" spans="1:17" s="93" customFormat="1" ht="13.5" hidden="1" customHeight="1" thickTop="1">
      <c r="A25" s="72" t="str">
        <f>IF(B25="","",'2)送出し機関概要'!B223)</f>
        <v/>
      </c>
      <c r="B25" s="76" t="str">
        <f>IF(OR('2)送出し機関概要'!D224="※選択してください",'2)送出し機関概要'!D224=""),"",'2)送出し機関概要'!D224)</f>
        <v/>
      </c>
      <c r="C25" s="707" t="str">
        <f>IF(OR('2)送出し機関概要'!D225="(日本語)",'2)送出し機関概要'!D225=""),"",'2)送出し機関概要'!D225)</f>
        <v/>
      </c>
      <c r="D25" s="740"/>
      <c r="E25" s="269"/>
      <c r="F25" s="270"/>
      <c r="G25" s="270"/>
      <c r="H25" s="270"/>
      <c r="I25" s="270"/>
      <c r="J25" s="270"/>
      <c r="K25" s="271"/>
      <c r="L25" s="42">
        <f t="shared" si="0"/>
        <v>0</v>
      </c>
      <c r="M25" s="360"/>
      <c r="N25" s="368"/>
      <c r="O25" s="363"/>
      <c r="P25" s="363"/>
      <c r="Q25" s="363"/>
    </row>
    <row r="26" spans="1:17" s="93" customFormat="1" ht="13.5" hidden="1" customHeight="1" thickTop="1">
      <c r="A26" s="110" t="str">
        <f>IF(B26="","",'2)送出し機関概要'!B234)</f>
        <v/>
      </c>
      <c r="B26" s="231" t="str">
        <f>IF(OR('2)送出し機関概要'!D235="※選択してください",'2)送出し機関概要'!D235=""),"",'2)送出し機関概要'!D235)</f>
        <v/>
      </c>
      <c r="C26" s="705" t="str">
        <f>IF(OR('2)送出し機関概要'!D236="(日本語)",'2)送出し機関概要'!D236=""),"",'2)送出し機関概要'!D236)</f>
        <v/>
      </c>
      <c r="D26" s="731"/>
      <c r="E26" s="266"/>
      <c r="F26" s="267"/>
      <c r="G26" s="267"/>
      <c r="H26" s="267"/>
      <c r="I26" s="267"/>
      <c r="J26" s="267"/>
      <c r="K26" s="268"/>
      <c r="L26" s="114">
        <f t="shared" si="0"/>
        <v>0</v>
      </c>
      <c r="M26" s="360"/>
      <c r="N26" s="368"/>
      <c r="O26" s="363"/>
      <c r="P26" s="363"/>
      <c r="Q26" s="363"/>
    </row>
    <row r="27" spans="1:17" s="93" customFormat="1" ht="13.5" hidden="1" customHeight="1" thickTop="1">
      <c r="A27" s="72" t="str">
        <f>IF(B27="","",'2)送出し機関概要'!B245)</f>
        <v/>
      </c>
      <c r="B27" s="76" t="str">
        <f>IF(OR('2)送出し機関概要'!D246="※選択してください",'2)送出し機関概要'!D246=""),"",'2)送出し機関概要'!D246)</f>
        <v/>
      </c>
      <c r="C27" s="707" t="str">
        <f>IF(OR('2)送出し機関概要'!D247="(日本語)",'2)送出し機関概要'!D247=""),"",'2)送出し機関概要'!D247)</f>
        <v/>
      </c>
      <c r="D27" s="740"/>
      <c r="E27" s="269"/>
      <c r="F27" s="270"/>
      <c r="G27" s="270"/>
      <c r="H27" s="270"/>
      <c r="I27" s="270"/>
      <c r="J27" s="270"/>
      <c r="K27" s="271"/>
      <c r="L27" s="42">
        <f t="shared" si="0"/>
        <v>0</v>
      </c>
      <c r="M27" s="360"/>
      <c r="N27" s="368"/>
      <c r="O27" s="363"/>
      <c r="P27" s="363"/>
      <c r="Q27" s="363"/>
    </row>
    <row r="28" spans="1:17" s="93" customFormat="1" ht="13.5" hidden="1" customHeight="1" thickTop="1">
      <c r="A28" s="110" t="str">
        <f>IF(B28="","",'2)送出し機関概要'!B256)</f>
        <v/>
      </c>
      <c r="B28" s="231" t="str">
        <f>IF(OR('2)送出し機関概要'!D257="※選択してください",'2)送出し機関概要'!D257=""),"",'2)送出し機関概要'!D257)</f>
        <v/>
      </c>
      <c r="C28" s="705" t="str">
        <f>IF(OR('2)送出し機関概要'!D258="(日本語)",'2)送出し機関概要'!D258=""),"",'2)送出し機関概要'!D258)</f>
        <v/>
      </c>
      <c r="D28" s="731"/>
      <c r="E28" s="266"/>
      <c r="F28" s="267"/>
      <c r="G28" s="267"/>
      <c r="H28" s="267"/>
      <c r="I28" s="267"/>
      <c r="J28" s="267"/>
      <c r="K28" s="268"/>
      <c r="L28" s="114">
        <f t="shared" si="0"/>
        <v>0</v>
      </c>
      <c r="M28" s="360"/>
      <c r="N28" s="368"/>
      <c r="O28" s="363"/>
      <c r="Q28" s="363"/>
    </row>
    <row r="29" spans="1:17" s="93" customFormat="1" ht="13.5" hidden="1" customHeight="1" thickTop="1">
      <c r="A29" s="73" t="str">
        <f>IF(B29="","",'2)送出し機関概要'!B267)</f>
        <v/>
      </c>
      <c r="B29" s="76" t="str">
        <f>IF(OR('2)送出し機関概要'!D268="※選択してください",'2)送出し機関概要'!D268=""),"",'2)送出し機関概要'!D268)</f>
        <v/>
      </c>
      <c r="C29" s="749" t="str">
        <f>IF(OR('2)送出し機関概要'!D269="(日本語)",'2)送出し機関概要'!D269=""),"",'2)送出し機関概要'!D269)</f>
        <v/>
      </c>
      <c r="D29" s="750"/>
      <c r="E29" s="272"/>
      <c r="F29" s="273"/>
      <c r="G29" s="273"/>
      <c r="H29" s="273"/>
      <c r="I29" s="273"/>
      <c r="J29" s="273"/>
      <c r="K29" s="274"/>
      <c r="L29" s="49">
        <f t="shared" si="0"/>
        <v>0</v>
      </c>
      <c r="M29" s="360"/>
      <c r="N29" s="368"/>
      <c r="O29" s="363"/>
      <c r="Q29" s="363"/>
    </row>
    <row r="30" spans="1:17" customFormat="1" ht="13.5" customHeight="1" thickTop="1">
      <c r="A30" s="754" t="s">
        <v>267</v>
      </c>
      <c r="B30" s="755"/>
      <c r="C30" s="755"/>
      <c r="D30" s="756"/>
      <c r="E30" s="275" t="s">
        <v>12</v>
      </c>
      <c r="F30" s="276" t="s">
        <v>13</v>
      </c>
      <c r="G30" s="276" t="s">
        <v>14</v>
      </c>
      <c r="H30" s="276" t="s">
        <v>15</v>
      </c>
      <c r="I30" s="276" t="s">
        <v>16</v>
      </c>
      <c r="J30" s="276" t="s">
        <v>17</v>
      </c>
      <c r="K30" s="277" t="s">
        <v>18</v>
      </c>
      <c r="L30" s="278" t="s">
        <v>19</v>
      </c>
      <c r="M30" s="359"/>
      <c r="N30" s="368"/>
      <c r="O30" s="363"/>
      <c r="P30" s="324"/>
      <c r="Q30" s="324"/>
    </row>
    <row r="31" spans="1:17" customFormat="1" ht="19.5" customHeight="1">
      <c r="A31" s="757"/>
      <c r="B31" s="758"/>
      <c r="C31" s="758"/>
      <c r="D31" s="759"/>
      <c r="E31" s="47">
        <f t="shared" ref="E31:K31" si="1">SUM(E5:E29)</f>
        <v>0</v>
      </c>
      <c r="F31" s="45">
        <f t="shared" si="1"/>
        <v>0</v>
      </c>
      <c r="G31" s="45">
        <f t="shared" si="1"/>
        <v>0</v>
      </c>
      <c r="H31" s="45">
        <f t="shared" si="1"/>
        <v>0</v>
      </c>
      <c r="I31" s="45">
        <f t="shared" si="1"/>
        <v>0</v>
      </c>
      <c r="J31" s="45">
        <f t="shared" si="1"/>
        <v>0</v>
      </c>
      <c r="K31" s="46">
        <f t="shared" si="1"/>
        <v>0</v>
      </c>
      <c r="L31" s="50">
        <f>SUM(E31:K31)</f>
        <v>0</v>
      </c>
      <c r="M31" s="361"/>
      <c r="N31" s="368"/>
      <c r="O31" s="363"/>
      <c r="P31" s="324"/>
      <c r="Q31" s="324"/>
    </row>
    <row r="32" spans="1:17" customFormat="1" ht="15" customHeight="1">
      <c r="A32" s="751" t="s">
        <v>612</v>
      </c>
      <c r="B32" s="752"/>
      <c r="C32" s="752"/>
      <c r="D32" s="752"/>
      <c r="E32" s="752"/>
      <c r="F32" s="752"/>
      <c r="G32" s="752"/>
      <c r="H32" s="752"/>
      <c r="I32" s="752"/>
      <c r="J32" s="752"/>
      <c r="K32" s="752"/>
      <c r="L32" s="753"/>
      <c r="M32" s="362"/>
      <c r="N32" s="368"/>
      <c r="O32" s="741" t="s">
        <v>583</v>
      </c>
      <c r="P32" s="742"/>
      <c r="Q32" s="324"/>
    </row>
    <row r="33" spans="1:17" customFormat="1" ht="16.5" customHeight="1">
      <c r="A33" s="702" t="s">
        <v>176</v>
      </c>
      <c r="B33" s="703"/>
      <c r="C33" s="704"/>
      <c r="D33" s="732" t="s">
        <v>496</v>
      </c>
      <c r="E33" s="733"/>
      <c r="F33" s="733"/>
      <c r="G33" s="733"/>
      <c r="H33" s="733"/>
      <c r="I33" s="733"/>
      <c r="J33" s="733"/>
      <c r="K33" s="733"/>
      <c r="L33" s="734"/>
      <c r="M33" s="362"/>
      <c r="N33" s="368"/>
      <c r="O33" s="742"/>
      <c r="P33" s="742"/>
      <c r="Q33" s="324"/>
    </row>
    <row r="34" spans="1:17" customFormat="1" ht="15" customHeight="1">
      <c r="A34" s="699" t="s">
        <v>223</v>
      </c>
      <c r="B34" s="700"/>
      <c r="C34" s="701"/>
      <c r="D34" s="737"/>
      <c r="E34" s="738"/>
      <c r="F34" s="738"/>
      <c r="G34" s="738"/>
      <c r="H34" s="738"/>
      <c r="I34" s="738"/>
      <c r="J34" s="738"/>
      <c r="K34" s="738"/>
      <c r="L34" s="739"/>
      <c r="M34" s="362"/>
      <c r="N34" s="363"/>
      <c r="O34" s="742"/>
      <c r="P34" s="742"/>
      <c r="Q34" s="324"/>
    </row>
    <row r="35" spans="1:17" customFormat="1" ht="15" customHeight="1">
      <c r="A35" s="699" t="s">
        <v>224</v>
      </c>
      <c r="B35" s="700"/>
      <c r="C35" s="701"/>
      <c r="D35" s="735" t="s">
        <v>166</v>
      </c>
      <c r="E35" s="735"/>
      <c r="F35" s="735"/>
      <c r="G35" s="735"/>
      <c r="H35" s="735"/>
      <c r="I35" s="735"/>
      <c r="J35" s="735"/>
      <c r="K35" s="735"/>
      <c r="L35" s="736"/>
      <c r="M35" s="362"/>
      <c r="N35" s="363"/>
      <c r="O35" s="742"/>
      <c r="P35" s="742"/>
      <c r="Q35" s="324"/>
    </row>
    <row r="36" spans="1:17" customFormat="1" ht="15" customHeight="1">
      <c r="A36" s="696" t="s">
        <v>225</v>
      </c>
      <c r="B36" s="697"/>
      <c r="C36" s="698"/>
      <c r="D36" s="746"/>
      <c r="E36" s="747"/>
      <c r="F36" s="747"/>
      <c r="G36" s="747"/>
      <c r="H36" s="747"/>
      <c r="I36" s="747"/>
      <c r="J36" s="747"/>
      <c r="K36" s="747"/>
      <c r="L36" s="748"/>
      <c r="M36" s="362"/>
      <c r="N36" s="363"/>
      <c r="O36" s="742"/>
      <c r="P36" s="742"/>
      <c r="Q36" s="324"/>
    </row>
    <row r="37" spans="1:17" customFormat="1" ht="9" customHeight="1">
      <c r="M37" s="362"/>
      <c r="N37" s="363"/>
      <c r="O37" s="363"/>
      <c r="P37" s="324"/>
      <c r="Q37" s="324"/>
    </row>
    <row r="38" spans="1:17" customFormat="1" ht="18" customHeight="1">
      <c r="A38" s="573" t="s">
        <v>93</v>
      </c>
      <c r="B38" s="574"/>
      <c r="C38" s="574"/>
      <c r="D38" s="574"/>
      <c r="E38" s="574"/>
      <c r="F38" s="574"/>
      <c r="G38" s="574"/>
      <c r="H38" s="574"/>
      <c r="I38" s="574"/>
      <c r="J38" s="574"/>
      <c r="K38" s="574"/>
      <c r="L38" s="575"/>
      <c r="M38" s="362"/>
      <c r="N38" s="341"/>
      <c r="O38" s="363"/>
      <c r="P38" s="324"/>
      <c r="Q38" s="324"/>
    </row>
    <row r="39" spans="1:17" customFormat="1">
      <c r="A39" s="689" t="s">
        <v>77</v>
      </c>
      <c r="B39" s="690"/>
      <c r="C39" s="690"/>
      <c r="D39" s="690"/>
      <c r="E39" s="691"/>
      <c r="F39" s="691"/>
      <c r="G39" s="691"/>
      <c r="H39" s="691"/>
      <c r="I39" s="691"/>
      <c r="J39" s="691"/>
      <c r="K39" s="691"/>
      <c r="L39" s="692"/>
      <c r="M39" s="362"/>
      <c r="N39" s="369"/>
      <c r="O39" s="363"/>
      <c r="P39" s="324"/>
      <c r="Q39" s="324"/>
    </row>
    <row r="40" spans="1:17" customFormat="1" ht="18" customHeight="1">
      <c r="A40" s="760" t="s">
        <v>226</v>
      </c>
      <c r="B40" s="761"/>
      <c r="C40" s="761"/>
      <c r="D40" s="761"/>
      <c r="E40" s="761"/>
      <c r="F40" s="729"/>
      <c r="G40" s="729"/>
      <c r="H40" s="729"/>
      <c r="I40" s="729"/>
      <c r="J40" s="729"/>
      <c r="K40" s="729"/>
      <c r="L40" s="730"/>
      <c r="M40" s="362"/>
      <c r="N40" s="370"/>
      <c r="O40" s="363"/>
      <c r="P40" s="324"/>
      <c r="Q40" s="324"/>
    </row>
    <row r="41" spans="1:17" customFormat="1" ht="34.5" customHeight="1">
      <c r="A41" s="717"/>
      <c r="B41" s="718"/>
      <c r="C41" s="718"/>
      <c r="D41" s="718"/>
      <c r="E41" s="718"/>
      <c r="F41" s="718"/>
      <c r="G41" s="718"/>
      <c r="H41" s="718"/>
      <c r="I41" s="718"/>
      <c r="J41" s="718"/>
      <c r="K41" s="718"/>
      <c r="L41" s="719"/>
      <c r="M41" s="362"/>
      <c r="N41" s="371"/>
      <c r="O41" s="363"/>
      <c r="P41" s="324"/>
      <c r="Q41" s="324"/>
    </row>
    <row r="42" spans="1:17" customFormat="1" ht="34.5" customHeight="1">
      <c r="A42" s="723"/>
      <c r="B42" s="724"/>
      <c r="C42" s="724"/>
      <c r="D42" s="724"/>
      <c r="E42" s="724"/>
      <c r="F42" s="724"/>
      <c r="G42" s="724"/>
      <c r="H42" s="724"/>
      <c r="I42" s="724"/>
      <c r="J42" s="724"/>
      <c r="K42" s="724"/>
      <c r="L42" s="725"/>
      <c r="M42" s="362"/>
      <c r="N42" s="371"/>
      <c r="O42" s="363"/>
      <c r="P42" s="324"/>
      <c r="Q42" s="324"/>
    </row>
    <row r="43" spans="1:17" customFormat="1" ht="18" customHeight="1">
      <c r="A43" s="713" t="s">
        <v>523</v>
      </c>
      <c r="B43" s="714"/>
      <c r="C43" s="714"/>
      <c r="D43" s="714"/>
      <c r="E43" s="714"/>
      <c r="F43" s="715"/>
      <c r="G43" s="715"/>
      <c r="H43" s="715"/>
      <c r="I43" s="715"/>
      <c r="J43" s="715"/>
      <c r="K43" s="715"/>
      <c r="L43" s="716"/>
      <c r="M43" s="362"/>
      <c r="N43" s="324"/>
      <c r="O43" s="363"/>
      <c r="P43" s="324"/>
      <c r="Q43" s="324"/>
    </row>
    <row r="44" spans="1:17" customFormat="1" ht="34.5" customHeight="1">
      <c r="A44" s="717"/>
      <c r="B44" s="718"/>
      <c r="C44" s="718"/>
      <c r="D44" s="718"/>
      <c r="E44" s="718"/>
      <c r="F44" s="718"/>
      <c r="G44" s="718"/>
      <c r="H44" s="718"/>
      <c r="I44" s="718"/>
      <c r="J44" s="718"/>
      <c r="K44" s="718"/>
      <c r="L44" s="719"/>
      <c r="M44" s="362"/>
      <c r="N44" s="371"/>
      <c r="O44" s="363"/>
      <c r="P44" s="324"/>
      <c r="Q44" s="324"/>
    </row>
    <row r="45" spans="1:17" customFormat="1" ht="34.5" customHeight="1">
      <c r="A45" s="723"/>
      <c r="B45" s="724"/>
      <c r="C45" s="724"/>
      <c r="D45" s="724"/>
      <c r="E45" s="724"/>
      <c r="F45" s="724"/>
      <c r="G45" s="724"/>
      <c r="H45" s="724"/>
      <c r="I45" s="724"/>
      <c r="J45" s="724"/>
      <c r="K45" s="724"/>
      <c r="L45" s="725"/>
      <c r="M45" s="362"/>
      <c r="N45" s="371"/>
      <c r="O45" s="363"/>
      <c r="P45" s="324"/>
      <c r="Q45" s="324"/>
    </row>
    <row r="46" spans="1:17" customFormat="1" ht="18" customHeight="1">
      <c r="A46" s="713" t="s">
        <v>522</v>
      </c>
      <c r="B46" s="714"/>
      <c r="C46" s="714"/>
      <c r="D46" s="714"/>
      <c r="E46" s="714"/>
      <c r="F46" s="715"/>
      <c r="G46" s="715"/>
      <c r="H46" s="715"/>
      <c r="I46" s="715"/>
      <c r="J46" s="715"/>
      <c r="K46" s="715"/>
      <c r="L46" s="716"/>
      <c r="M46" s="362"/>
      <c r="N46" s="324"/>
      <c r="O46" s="743" t="s">
        <v>557</v>
      </c>
      <c r="P46" s="743"/>
      <c r="Q46" s="324"/>
    </row>
    <row r="47" spans="1:17" customFormat="1" ht="34.5" customHeight="1">
      <c r="A47" s="717"/>
      <c r="B47" s="718"/>
      <c r="C47" s="718"/>
      <c r="D47" s="718"/>
      <c r="E47" s="718"/>
      <c r="F47" s="718"/>
      <c r="G47" s="718"/>
      <c r="H47" s="718"/>
      <c r="I47" s="718"/>
      <c r="J47" s="718"/>
      <c r="K47" s="718"/>
      <c r="L47" s="719"/>
      <c r="M47" s="362"/>
      <c r="N47" s="371"/>
      <c r="O47" s="743"/>
      <c r="P47" s="743"/>
      <c r="Q47" s="324"/>
    </row>
    <row r="48" spans="1:17" customFormat="1" ht="34.5" customHeight="1">
      <c r="A48" s="723"/>
      <c r="B48" s="724"/>
      <c r="C48" s="724"/>
      <c r="D48" s="724"/>
      <c r="E48" s="724"/>
      <c r="F48" s="724"/>
      <c r="G48" s="724"/>
      <c r="H48" s="724"/>
      <c r="I48" s="724"/>
      <c r="J48" s="724"/>
      <c r="K48" s="724"/>
      <c r="L48" s="725"/>
      <c r="M48" s="362"/>
      <c r="N48" s="371"/>
      <c r="O48" s="743"/>
      <c r="P48" s="743"/>
      <c r="Q48" s="324"/>
    </row>
    <row r="49" spans="1:17" customFormat="1" ht="18" customHeight="1">
      <c r="A49" s="726" t="s">
        <v>524</v>
      </c>
      <c r="B49" s="727"/>
      <c r="C49" s="728"/>
      <c r="D49" s="728"/>
      <c r="E49" s="728"/>
      <c r="F49" s="729"/>
      <c r="G49" s="729"/>
      <c r="H49" s="729"/>
      <c r="I49" s="729"/>
      <c r="J49" s="729"/>
      <c r="K49" s="729"/>
      <c r="L49" s="730"/>
      <c r="M49" s="362"/>
      <c r="N49" s="370"/>
      <c r="O49" s="363"/>
      <c r="P49" s="324"/>
      <c r="Q49" s="324"/>
    </row>
    <row r="50" spans="1:17" customFormat="1" ht="23.25" customHeight="1">
      <c r="A50" s="717"/>
      <c r="B50" s="718"/>
      <c r="C50" s="718"/>
      <c r="D50" s="718"/>
      <c r="E50" s="718"/>
      <c r="F50" s="718"/>
      <c r="G50" s="718"/>
      <c r="H50" s="718"/>
      <c r="I50" s="718"/>
      <c r="J50" s="718"/>
      <c r="K50" s="718"/>
      <c r="L50" s="719"/>
      <c r="M50" s="362"/>
      <c r="N50" s="371"/>
      <c r="O50" s="363"/>
      <c r="P50" s="324"/>
      <c r="Q50" s="324"/>
    </row>
    <row r="51" spans="1:17" customFormat="1" ht="23.25" customHeight="1">
      <c r="A51" s="720"/>
      <c r="B51" s="721"/>
      <c r="C51" s="721"/>
      <c r="D51" s="721"/>
      <c r="E51" s="721"/>
      <c r="F51" s="721"/>
      <c r="G51" s="721"/>
      <c r="H51" s="721"/>
      <c r="I51" s="721"/>
      <c r="J51" s="721"/>
      <c r="K51" s="721"/>
      <c r="L51" s="722"/>
      <c r="M51" s="362"/>
      <c r="N51" s="371"/>
      <c r="O51" s="363"/>
      <c r="P51" s="324"/>
      <c r="Q51" s="324"/>
    </row>
    <row r="52" spans="1:17" customFormat="1">
      <c r="M52" s="362"/>
      <c r="N52" s="324"/>
      <c r="O52" s="363"/>
      <c r="P52" s="324"/>
      <c r="Q52" s="324"/>
    </row>
  </sheetData>
  <sheetProtection algorithmName="SHA-512" hashValue="y94uSEUUVeCQsrtoYHzCb/WO6LYbnyQJWHzF04GauhaOOpWL3UuLDTmfqZPY+GF8A+napWRtn/rrWYYH1Vo/uw==" saltValue="YoMZQ3Qz5PcFJGfAwes/tQ==" spinCount="100000" sheet="1" formatCells="0" formatColumns="0" formatRows="0" selectLockedCells="1"/>
  <mergeCells count="53">
    <mergeCell ref="O32:P36"/>
    <mergeCell ref="O46:P48"/>
    <mergeCell ref="O1:Q1"/>
    <mergeCell ref="O3:O4"/>
    <mergeCell ref="C17:D17"/>
    <mergeCell ref="C18:D18"/>
    <mergeCell ref="C19:D19"/>
    <mergeCell ref="C20:D20"/>
    <mergeCell ref="D36:L36"/>
    <mergeCell ref="C27:D27"/>
    <mergeCell ref="C28:D28"/>
    <mergeCell ref="C29:D29"/>
    <mergeCell ref="A32:L32"/>
    <mergeCell ref="A30:D31"/>
    <mergeCell ref="A41:L42"/>
    <mergeCell ref="A40:L40"/>
    <mergeCell ref="C9:D9"/>
    <mergeCell ref="C10:D10"/>
    <mergeCell ref="C11:D11"/>
    <mergeCell ref="C12:D12"/>
    <mergeCell ref="C13:D13"/>
    <mergeCell ref="C8:D8"/>
    <mergeCell ref="A46:L46"/>
    <mergeCell ref="A50:L51"/>
    <mergeCell ref="A47:L48"/>
    <mergeCell ref="A44:L45"/>
    <mergeCell ref="A49:L49"/>
    <mergeCell ref="C26:D26"/>
    <mergeCell ref="D33:L33"/>
    <mergeCell ref="D35:L35"/>
    <mergeCell ref="D34:L34"/>
    <mergeCell ref="A43:L43"/>
    <mergeCell ref="C21:D21"/>
    <mergeCell ref="C22:D22"/>
    <mergeCell ref="C23:D23"/>
    <mergeCell ref="C24:D24"/>
    <mergeCell ref="C25:D25"/>
    <mergeCell ref="P2:P6"/>
    <mergeCell ref="A2:L2"/>
    <mergeCell ref="A39:L39"/>
    <mergeCell ref="A38:L38"/>
    <mergeCell ref="A3:L3"/>
    <mergeCell ref="A36:C36"/>
    <mergeCell ref="A35:C35"/>
    <mergeCell ref="A34:C34"/>
    <mergeCell ref="A33:C33"/>
    <mergeCell ref="C14:D14"/>
    <mergeCell ref="C15:D15"/>
    <mergeCell ref="C16:D16"/>
    <mergeCell ref="C4:D4"/>
    <mergeCell ref="C5:D5"/>
    <mergeCell ref="C6:D6"/>
    <mergeCell ref="C7:D7"/>
  </mergeCells>
  <phoneticPr fontId="14"/>
  <conditionalFormatting sqref="A41:B41 A44:B44 A47:B47">
    <cfRule type="containsBlanks" dxfId="489" priority="77">
      <formula>LEN(TRIM(A41))=0</formula>
    </cfRule>
  </conditionalFormatting>
  <conditionalFormatting sqref="A34:C36">
    <cfRule type="expression" dxfId="488" priority="9">
      <formula>$D$33="該当なし"</formula>
    </cfRule>
  </conditionalFormatting>
  <conditionalFormatting sqref="D33">
    <cfRule type="expression" dxfId="487" priority="22">
      <formula>OR(D33="",D33="※自己資金招へい者の有無を選択してください （ありの場合は以下に記入）")</formula>
    </cfRule>
  </conditionalFormatting>
  <conditionalFormatting sqref="D34:L34">
    <cfRule type="expression" dxfId="486" priority="15">
      <formula>$D$33="該当なし"</formula>
    </cfRule>
    <cfRule type="expression" dxfId="485" priority="78">
      <formula>AND(D33="自己資金招へい者あり",D34="")</formula>
    </cfRule>
  </conditionalFormatting>
  <conditionalFormatting sqref="D35:L35">
    <cfRule type="expression" dxfId="484" priority="8">
      <formula>$D$33="※自己資金招へい者の有無を選択してください （ありの場合は以下に記入）"</formula>
    </cfRule>
    <cfRule type="expression" dxfId="483" priority="13">
      <formula>$D$33="該当なし"</formula>
    </cfRule>
    <cfRule type="expression" dxfId="482" priority="14">
      <formula>AND($D$33="自己資金招へい者あり",$D$35="（例：〇〇大学/中国）")</formula>
    </cfRule>
  </conditionalFormatting>
  <conditionalFormatting sqref="D36:L36">
    <cfRule type="expression" dxfId="481" priority="11">
      <formula>$D$33="該当なし"</formula>
    </cfRule>
    <cfRule type="expression" dxfId="480" priority="12">
      <formula>AND($D$33="自己資金招へい者あり",$D$36="")</formula>
    </cfRule>
  </conditionalFormatting>
  <conditionalFormatting sqref="E5:K29">
    <cfRule type="expression" dxfId="479" priority="23">
      <formula>AND($B5&lt;&gt;"",$L5=0)</formula>
    </cfRule>
  </conditionalFormatting>
  <conditionalFormatting sqref="E5:M19 E31:M31">
    <cfRule type="expression" dxfId="477" priority="2">
      <formula>AND($A$6="",$L$31&gt;8,E5&lt;&gt;0)</formula>
    </cfRule>
    <cfRule type="expression" dxfId="476" priority="3">
      <formula>AND($A$6=2,$L$31&gt;12,E5&lt;&gt;0)</formula>
    </cfRule>
  </conditionalFormatting>
  <conditionalFormatting sqref="E5:M19">
    <cfRule type="expression" dxfId="475" priority="4">
      <formula>AND($L5&gt;8,E5&lt;&gt;0)</formula>
    </cfRule>
  </conditionalFormatting>
  <dataValidations count="6">
    <dataValidation imeMode="off" allowBlank="1" showInputMessage="1" showErrorMessage="1" sqref="E3:K3 E30:K31" xr:uid="{4FC62FB2-2038-4F0B-AD38-59BAB51A753B}"/>
    <dataValidation type="custom" imeMode="disabled" allowBlank="1" showInputMessage="1" showErrorMessage="1" error="自己資金招へい者の有無欄で【自己資金招へい者あり】を選択してから入力してください。" prompt="人数(数字)のみ_x000a_入力してください。" sqref="D34:L34" xr:uid="{DC83068F-12E4-4B09-96EC-557AB86F57F3}">
      <formula1>D33="自己資金招へい者あり"</formula1>
    </dataValidation>
    <dataValidation type="custom" imeMode="halfAlpha" allowBlank="1" showInputMessage="1" showErrorMessage="1" error="自己資金招へい者の有無欄で【自己資金招へい者あり】を選択してから入力してください。" prompt="金額(数字)のみ_x000a_入力してください。" sqref="D36:L36" xr:uid="{61243B41-7BEC-4565-98AF-F39DC270CCEE}">
      <formula1>OR(AND(D33="自己資金招へい者あり",D36&lt;&gt;""),D36="")</formula1>
    </dataValidation>
    <dataValidation type="list" allowBlank="1" showInputMessage="1" showErrorMessage="1" sqref="D33:L33" xr:uid="{AD178CA9-7E5B-40ED-9DBB-FFFAD377D3F2}">
      <formula1>"※自己資金招へい者の有無を選択してください （ありの場合は以下に記入）,自己資金招へい者あり,該当なし"</formula1>
    </dataValidation>
    <dataValidation imeMode="disabled" allowBlank="1" showInputMessage="1" showErrorMessage="1" sqref="E5:K29" xr:uid="{7E9ABA4E-BA90-4F3C-B3E3-C121580EEEC1}"/>
    <dataValidation type="custom" imeMode="on" allowBlank="1" showInputMessage="1" showErrorMessage="1" error="自己資金招へい者の有無欄で【自己資金招へい者あり】を選択してから入力してください。_x000a_" sqref="D35:L35" xr:uid="{77DC305D-82FF-4AFF-9746-E9555A3BC96B}">
      <formula1>OR(AND(D33="自己資金招へい者あり",D35&lt;&gt;""),D35="")</formula1>
    </dataValidation>
  </dataValidations>
  <printOptions horizontalCentered="1"/>
  <pageMargins left="0.59055118110236227" right="0.59055118110236227" top="0.59055118110236227" bottom="0.39370078740157483" header="0.19685039370078741" footer="0.19685039370078741"/>
  <pageSetup paperSize="9" scale="83" fitToHeight="0" orientation="portrait" r:id="rId1"/>
  <headerFooter>
    <oddHeader>&amp;C&amp;9&amp;F</oddHeader>
    <oddFooter>&amp;C&amp;10&amp;P/&amp;N</oddFooter>
  </headerFooter>
  <drawing r:id="rId2"/>
  <extLst>
    <ext xmlns:x14="http://schemas.microsoft.com/office/spreadsheetml/2009/9/main" uri="{78C0D931-6437-407d-A8EE-F0AAD7539E65}">
      <x14:conditionalFormattings>
        <x14:conditionalFormatting xmlns:xm="http://schemas.microsoft.com/office/excel/2006/main">
          <x14:cfRule type="expression" priority="1" id="{F5652A92-E52A-49EA-B714-65797AD1A51C}">
            <xm:f>AND('1)受入れ機関概要'!$C$7&lt;&gt;"C.科学技術研修コース",$L$31&gt;8,E5&lt;&gt;0)</xm:f>
            <x14:dxf>
              <font>
                <b/>
                <i/>
                <color rgb="FFFF0000"/>
              </font>
              <fill>
                <patternFill>
                  <bgColor theme="7" tint="0.39994506668294322"/>
                </patternFill>
              </fill>
            </x14:dxf>
          </x14:cfRule>
          <xm:sqref>E5:M19 E31:M31</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64449-266B-4393-8C67-9C5C8020D826}">
  <sheetPr codeName="Sheet4">
    <pageSetUpPr fitToPage="1"/>
  </sheetPr>
  <dimension ref="A1:I44"/>
  <sheetViews>
    <sheetView showGridLines="0" zoomScaleNormal="100" zoomScaleSheetLayoutView="100" workbookViewId="0"/>
  </sheetViews>
  <sheetFormatPr defaultColWidth="0" defaultRowHeight="15.75"/>
  <cols>
    <col min="1" max="2" width="16.77734375" style="324" customWidth="1"/>
    <col min="3" max="3" width="24.77734375" style="324" customWidth="1"/>
    <col min="4" max="4" width="4.77734375" style="324" customWidth="1"/>
    <col min="5" max="5" width="24.77734375" style="324" customWidth="1"/>
    <col min="6" max="7" width="1.33203125" style="324" customWidth="1"/>
    <col min="8" max="8" width="53.77734375" style="324" customWidth="1"/>
    <col min="9" max="9" width="1.5546875" style="324" customWidth="1"/>
    <col min="10" max="16384" width="8.88671875" style="324" hidden="1"/>
  </cols>
  <sheetData>
    <row r="1" spans="1:9" customFormat="1">
      <c r="A1" s="39"/>
      <c r="B1" s="791" t="str">
        <f>'1)受入れ機関概要'!G1</f>
        <v>Ver.2501</v>
      </c>
      <c r="C1" s="791"/>
      <c r="D1" s="791"/>
      <c r="E1" s="791"/>
      <c r="G1" s="324"/>
      <c r="H1" s="366" t="s">
        <v>551</v>
      </c>
      <c r="I1" s="324"/>
    </row>
    <row r="2" spans="1:9" customFormat="1" ht="18" customHeight="1">
      <c r="A2" s="573" t="s">
        <v>159</v>
      </c>
      <c r="B2" s="574"/>
      <c r="C2" s="574"/>
      <c r="D2" s="574"/>
      <c r="E2" s="575"/>
      <c r="G2" s="324"/>
      <c r="H2" s="324"/>
      <c r="I2" s="324"/>
    </row>
    <row r="3" spans="1:9" customFormat="1" ht="26.25" customHeight="1">
      <c r="A3" s="62" t="s">
        <v>127</v>
      </c>
      <c r="B3" s="798" t="s">
        <v>119</v>
      </c>
      <c r="C3" s="799"/>
      <c r="D3" s="799"/>
      <c r="E3" s="800"/>
      <c r="G3" s="324"/>
      <c r="H3" s="324"/>
      <c r="I3" s="324"/>
    </row>
    <row r="4" spans="1:9" customFormat="1" ht="31.5" customHeight="1">
      <c r="A4" s="63" t="s">
        <v>99</v>
      </c>
      <c r="B4" s="795" t="str">
        <f>IF('1)受入れ機関概要'!C6="","テーマ未記入　※1)受入れ機関概要シートに記入してください",'1)受入れ機関概要'!C6)</f>
        <v>テーマ未記入　※1)受入れ機関概要シートに記入してください</v>
      </c>
      <c r="C4" s="796"/>
      <c r="D4" s="796"/>
      <c r="E4" s="797"/>
      <c r="G4" s="324"/>
      <c r="H4" s="372" t="s">
        <v>558</v>
      </c>
      <c r="I4" s="324"/>
    </row>
    <row r="5" spans="1:9" customFormat="1" ht="26.1" customHeight="1">
      <c r="A5" s="35" t="s">
        <v>137</v>
      </c>
      <c r="B5" s="792" t="str">
        <f>IF(OR('1)受入れ機関概要'!C7="※選択してください",'1)受入れ機関概要'!C7=""),"コース未選択　※1)受入れ機関概要シートで選択してください",'1)受入れ機関概要'!C7)</f>
        <v>コース未選択　※1)受入れ機関概要シートで選択してください</v>
      </c>
      <c r="C5" s="793"/>
      <c r="D5" s="793"/>
      <c r="E5" s="794"/>
      <c r="G5" s="324"/>
      <c r="H5" s="324"/>
      <c r="I5" s="324"/>
    </row>
    <row r="6" spans="1:9" customFormat="1">
      <c r="A6" s="804" t="s">
        <v>233</v>
      </c>
      <c r="B6" s="805"/>
      <c r="C6" s="805"/>
      <c r="D6" s="805"/>
      <c r="E6" s="806"/>
      <c r="G6" s="324"/>
      <c r="H6" s="324"/>
      <c r="I6" s="324"/>
    </row>
    <row r="7" spans="1:9" customFormat="1" ht="15" customHeight="1">
      <c r="A7" s="823" t="s">
        <v>268</v>
      </c>
      <c r="B7" s="824"/>
      <c r="C7" s="824"/>
      <c r="D7" s="824"/>
      <c r="E7" s="825"/>
      <c r="G7" s="324"/>
      <c r="H7" s="324"/>
      <c r="I7" s="324"/>
    </row>
    <row r="8" spans="1:9" customFormat="1" ht="48" customHeight="1">
      <c r="A8" s="768"/>
      <c r="B8" s="769"/>
      <c r="C8" s="769"/>
      <c r="D8" s="769"/>
      <c r="E8" s="770"/>
      <c r="G8" s="324"/>
      <c r="H8" s="324"/>
      <c r="I8" s="324"/>
    </row>
    <row r="9" spans="1:9" customFormat="1">
      <c r="A9" s="820" t="s">
        <v>234</v>
      </c>
      <c r="B9" s="821"/>
      <c r="C9" s="821"/>
      <c r="D9" s="821"/>
      <c r="E9" s="822"/>
      <c r="G9" s="324"/>
      <c r="H9" s="324"/>
      <c r="I9" s="324"/>
    </row>
    <row r="10" spans="1:9" customFormat="1">
      <c r="A10" s="826" t="s">
        <v>276</v>
      </c>
      <c r="B10" s="827"/>
      <c r="C10" s="827"/>
      <c r="D10" s="827"/>
      <c r="E10" s="828"/>
      <c r="G10" s="324"/>
      <c r="H10" s="324"/>
      <c r="I10" s="324"/>
    </row>
    <row r="11" spans="1:9" customFormat="1">
      <c r="A11" s="817" t="s">
        <v>235</v>
      </c>
      <c r="B11" s="818"/>
      <c r="C11" s="818"/>
      <c r="D11" s="818"/>
      <c r="E11" s="819"/>
      <c r="G11" s="324"/>
      <c r="H11" s="324"/>
      <c r="I11" s="324"/>
    </row>
    <row r="12" spans="1:9" customFormat="1">
      <c r="A12" s="829" t="s">
        <v>271</v>
      </c>
      <c r="B12" s="830"/>
      <c r="C12" s="830"/>
      <c r="D12" s="830"/>
      <c r="E12" s="831"/>
      <c r="G12" s="324"/>
      <c r="H12" s="324"/>
      <c r="I12" s="324"/>
    </row>
    <row r="13" spans="1:9" customFormat="1" ht="48" customHeight="1">
      <c r="A13" s="765" t="s">
        <v>527</v>
      </c>
      <c r="B13" s="766"/>
      <c r="C13" s="766"/>
      <c r="D13" s="766"/>
      <c r="E13" s="767"/>
      <c r="G13" s="324"/>
      <c r="H13" s="324"/>
      <c r="I13" s="324"/>
    </row>
    <row r="14" spans="1:9" customFormat="1" ht="48" customHeight="1">
      <c r="A14" s="765"/>
      <c r="B14" s="766"/>
      <c r="C14" s="766"/>
      <c r="D14" s="766"/>
      <c r="E14" s="767"/>
      <c r="G14" s="324"/>
      <c r="H14" s="324"/>
      <c r="I14" s="324"/>
    </row>
    <row r="15" spans="1:9" customFormat="1" ht="48" customHeight="1">
      <c r="A15" s="765"/>
      <c r="B15" s="766"/>
      <c r="C15" s="766"/>
      <c r="D15" s="766"/>
      <c r="E15" s="767"/>
      <c r="G15" s="324"/>
      <c r="H15" s="324"/>
      <c r="I15" s="324"/>
    </row>
    <row r="16" spans="1:9" customFormat="1" ht="15" customHeight="1">
      <c r="A16" s="814" t="s">
        <v>518</v>
      </c>
      <c r="B16" s="815"/>
      <c r="C16" s="815"/>
      <c r="D16" s="815"/>
      <c r="E16" s="816"/>
      <c r="G16" s="324"/>
      <c r="H16" s="324"/>
      <c r="I16" s="324"/>
    </row>
    <row r="17" spans="1:9" customFormat="1" ht="27" customHeight="1">
      <c r="A17" s="832" t="s">
        <v>516</v>
      </c>
      <c r="B17" s="833"/>
      <c r="C17" s="833"/>
      <c r="D17" s="833"/>
      <c r="E17" s="834"/>
      <c r="G17" s="324"/>
      <c r="H17" s="324"/>
      <c r="I17" s="324"/>
    </row>
    <row r="18" spans="1:9" customFormat="1" ht="48" customHeight="1">
      <c r="A18" s="765"/>
      <c r="B18" s="766"/>
      <c r="C18" s="766"/>
      <c r="D18" s="766"/>
      <c r="E18" s="767"/>
      <c r="G18" s="324"/>
      <c r="H18" s="324"/>
      <c r="I18" s="324"/>
    </row>
    <row r="19" spans="1:9" customFormat="1" ht="48" customHeight="1">
      <c r="A19" s="765"/>
      <c r="B19" s="766"/>
      <c r="C19" s="766"/>
      <c r="D19" s="766"/>
      <c r="E19" s="767"/>
      <c r="G19" s="324"/>
      <c r="H19" s="324"/>
      <c r="I19" s="324"/>
    </row>
    <row r="20" spans="1:9" customFormat="1" ht="48" customHeight="1">
      <c r="A20" s="765"/>
      <c r="B20" s="766"/>
      <c r="C20" s="766"/>
      <c r="D20" s="766"/>
      <c r="E20" s="767"/>
      <c r="G20" s="324"/>
      <c r="H20" s="324"/>
      <c r="I20" s="324"/>
    </row>
    <row r="21" spans="1:9" customFormat="1" ht="30" customHeight="1">
      <c r="A21" s="814" t="s">
        <v>519</v>
      </c>
      <c r="B21" s="815"/>
      <c r="C21" s="815"/>
      <c r="D21" s="815"/>
      <c r="E21" s="816"/>
      <c r="G21" s="324"/>
      <c r="H21" s="324"/>
      <c r="I21" s="324"/>
    </row>
    <row r="22" spans="1:9" customFormat="1" ht="72" customHeight="1">
      <c r="A22" s="832" t="s">
        <v>529</v>
      </c>
      <c r="B22" s="833"/>
      <c r="C22" s="833"/>
      <c r="D22" s="833"/>
      <c r="E22" s="834"/>
      <c r="G22" s="324"/>
      <c r="H22" s="324"/>
      <c r="I22" s="324"/>
    </row>
    <row r="23" spans="1:9" customFormat="1" ht="48" customHeight="1">
      <c r="A23" s="808"/>
      <c r="B23" s="809"/>
      <c r="C23" s="809"/>
      <c r="D23" s="809"/>
      <c r="E23" s="810"/>
      <c r="G23" s="324"/>
      <c r="H23" s="324"/>
      <c r="I23" s="324"/>
    </row>
    <row r="24" spans="1:9" customFormat="1" ht="48" customHeight="1">
      <c r="A24" s="808"/>
      <c r="B24" s="809"/>
      <c r="C24" s="809"/>
      <c r="D24" s="809"/>
      <c r="E24" s="810"/>
      <c r="G24" s="324"/>
      <c r="H24" s="324"/>
      <c r="I24" s="324"/>
    </row>
    <row r="25" spans="1:9" customFormat="1" ht="48" customHeight="1">
      <c r="A25" s="811"/>
      <c r="B25" s="812"/>
      <c r="C25" s="812"/>
      <c r="D25" s="812"/>
      <c r="E25" s="813"/>
      <c r="G25" s="324"/>
      <c r="H25" s="324"/>
      <c r="I25" s="324"/>
    </row>
    <row r="26" spans="1:9" customFormat="1" ht="18" customHeight="1">
      <c r="A26" s="807" t="s">
        <v>173</v>
      </c>
      <c r="B26" s="691"/>
      <c r="C26" s="691"/>
      <c r="D26" s="691"/>
      <c r="E26" s="692"/>
      <c r="G26" s="324"/>
      <c r="H26" s="324"/>
      <c r="I26" s="324"/>
    </row>
    <row r="27" spans="1:9" customFormat="1">
      <c r="A27" s="762" t="s">
        <v>242</v>
      </c>
      <c r="B27" s="763"/>
      <c r="C27" s="763"/>
      <c r="D27" s="763"/>
      <c r="E27" s="764"/>
      <c r="G27" s="324"/>
      <c r="H27" s="324"/>
      <c r="I27" s="324"/>
    </row>
    <row r="28" spans="1:9" customFormat="1" ht="48" customHeight="1">
      <c r="A28" s="777"/>
      <c r="B28" s="778"/>
      <c r="C28" s="778"/>
      <c r="D28" s="778"/>
      <c r="E28" s="779"/>
      <c r="G28" s="324"/>
      <c r="H28" s="324"/>
      <c r="I28" s="324"/>
    </row>
    <row r="29" spans="1:9" customFormat="1" ht="48" customHeight="1">
      <c r="A29" s="780"/>
      <c r="B29" s="781"/>
      <c r="C29" s="781"/>
      <c r="D29" s="781"/>
      <c r="E29" s="782"/>
      <c r="G29" s="324"/>
      <c r="H29" s="324"/>
      <c r="I29" s="324"/>
    </row>
    <row r="30" spans="1:9" customFormat="1" ht="48" customHeight="1">
      <c r="A30" s="783"/>
      <c r="B30" s="784"/>
      <c r="C30" s="784"/>
      <c r="D30" s="784"/>
      <c r="E30" s="785"/>
      <c r="G30" s="324"/>
      <c r="H30" s="373" t="s">
        <v>243</v>
      </c>
      <c r="I30" s="324"/>
    </row>
    <row r="31" spans="1:9" customFormat="1">
      <c r="A31" s="762" t="s">
        <v>520</v>
      </c>
      <c r="B31" s="763"/>
      <c r="C31" s="763"/>
      <c r="D31" s="763"/>
      <c r="E31" s="764"/>
      <c r="G31" s="324"/>
      <c r="H31" s="374" t="s">
        <v>521</v>
      </c>
      <c r="I31" s="324"/>
    </row>
    <row r="32" spans="1:9" customFormat="1" ht="48" customHeight="1">
      <c r="A32" s="777"/>
      <c r="B32" s="778"/>
      <c r="C32" s="778"/>
      <c r="D32" s="778"/>
      <c r="E32" s="779"/>
      <c r="G32" s="324"/>
      <c r="H32" s="801" t="s">
        <v>530</v>
      </c>
      <c r="I32" s="324"/>
    </row>
    <row r="33" spans="1:9" customFormat="1" ht="48" customHeight="1">
      <c r="A33" s="780"/>
      <c r="B33" s="781"/>
      <c r="C33" s="781"/>
      <c r="D33" s="781"/>
      <c r="E33" s="782"/>
      <c r="G33" s="324"/>
      <c r="H33" s="802"/>
      <c r="I33" s="324"/>
    </row>
    <row r="34" spans="1:9" customFormat="1" ht="48" customHeight="1">
      <c r="A34" s="783"/>
      <c r="B34" s="784"/>
      <c r="C34" s="784"/>
      <c r="D34" s="784"/>
      <c r="E34" s="785"/>
      <c r="G34" s="324"/>
      <c r="H34" s="803"/>
      <c r="I34" s="324"/>
    </row>
    <row r="35" spans="1:9" customFormat="1" ht="31.5" customHeight="1">
      <c r="A35" s="786" t="s">
        <v>262</v>
      </c>
      <c r="B35" s="787"/>
      <c r="C35" s="788" t="str">
        <f>IF('1)受入れ機関概要'!G9="※選択してください","招へい前後に実施するオンライン交流実施の有無　未選択",IF('1)受入れ機関概要'!G9="オンライン交流実施なし","オンライン交流実施なし",TEXT('1)受入れ機関概要'!C9,"yyyy/m/d")&amp;"　　　～　　　"&amp;TEXT('1)受入れ機関概要'!F9,"yyyy/m/d")))</f>
        <v>招へい前後に実施するオンライン交流実施の有無　未選択</v>
      </c>
      <c r="D35" s="789"/>
      <c r="E35" s="790"/>
      <c r="G35" s="324"/>
      <c r="H35" s="375" t="s">
        <v>249</v>
      </c>
      <c r="I35" s="324"/>
    </row>
    <row r="36" spans="1:9" customFormat="1" ht="15.75" customHeight="1">
      <c r="A36" s="774" t="s">
        <v>227</v>
      </c>
      <c r="B36" s="775"/>
      <c r="C36" s="775"/>
      <c r="D36" s="775"/>
      <c r="E36" s="776"/>
      <c r="G36" s="324"/>
      <c r="H36" s="324"/>
      <c r="I36" s="324"/>
    </row>
    <row r="37" spans="1:9" customFormat="1" ht="48" customHeight="1">
      <c r="A37" s="765"/>
      <c r="B37" s="766"/>
      <c r="C37" s="766"/>
      <c r="D37" s="766"/>
      <c r="E37" s="767"/>
      <c r="G37" s="324"/>
      <c r="H37" s="324"/>
      <c r="I37" s="324"/>
    </row>
    <row r="38" spans="1:9" customFormat="1" ht="48" customHeight="1">
      <c r="A38" s="765"/>
      <c r="B38" s="766"/>
      <c r="C38" s="766"/>
      <c r="D38" s="766"/>
      <c r="E38" s="767"/>
      <c r="G38" s="324"/>
      <c r="H38" s="324"/>
      <c r="I38" s="324"/>
    </row>
    <row r="39" spans="1:9" customFormat="1" ht="48" customHeight="1">
      <c r="A39" s="768"/>
      <c r="B39" s="769"/>
      <c r="C39" s="769"/>
      <c r="D39" s="769"/>
      <c r="E39" s="770"/>
      <c r="G39" s="324"/>
      <c r="H39" s="324"/>
      <c r="I39" s="324"/>
    </row>
    <row r="40" spans="1:9" customFormat="1" ht="57.75" customHeight="1">
      <c r="A40" s="771" t="s">
        <v>537</v>
      </c>
      <c r="B40" s="772"/>
      <c r="C40" s="772"/>
      <c r="D40" s="772"/>
      <c r="E40" s="773"/>
      <c r="G40" s="324"/>
      <c r="H40" s="324"/>
      <c r="I40" s="324"/>
    </row>
    <row r="41" spans="1:9" customFormat="1" ht="48" customHeight="1">
      <c r="A41" s="765"/>
      <c r="B41" s="766"/>
      <c r="C41" s="766"/>
      <c r="D41" s="766"/>
      <c r="E41" s="767"/>
      <c r="G41" s="324"/>
      <c r="H41" s="324"/>
      <c r="I41" s="324"/>
    </row>
    <row r="42" spans="1:9" customFormat="1" ht="48" customHeight="1">
      <c r="A42" s="765"/>
      <c r="B42" s="766"/>
      <c r="C42" s="766"/>
      <c r="D42" s="766"/>
      <c r="E42" s="767"/>
      <c r="G42" s="324"/>
      <c r="H42" s="324"/>
      <c r="I42" s="324"/>
    </row>
    <row r="43" spans="1:9" customFormat="1" ht="48" customHeight="1">
      <c r="A43" s="768"/>
      <c r="B43" s="769"/>
      <c r="C43" s="769"/>
      <c r="D43" s="769"/>
      <c r="E43" s="770"/>
      <c r="G43" s="324"/>
      <c r="H43" s="324"/>
      <c r="I43" s="324"/>
    </row>
    <row r="44" spans="1:9" customFormat="1">
      <c r="G44" s="324"/>
      <c r="H44" s="324"/>
      <c r="I44" s="324"/>
    </row>
  </sheetData>
  <sheetProtection algorithmName="SHA-512" hashValue="s+A8ehIGZ/kYf8xof9/VVyaAR3p8tr755ej38K1trZr7EvOClitkbD1EgX77oJgYTVfc3PjWhv1nufNKu8Xggg==" saltValue="EGmrsqOI9Hyk5dQnFiOgew==" spinCount="100000" sheet="1" formatCells="0" formatColumns="0" formatRows="0" selectLockedCells="1"/>
  <mergeCells count="31">
    <mergeCell ref="H32:H34"/>
    <mergeCell ref="A6:E6"/>
    <mergeCell ref="A26:E26"/>
    <mergeCell ref="A23:E25"/>
    <mergeCell ref="A21:E21"/>
    <mergeCell ref="A18:E20"/>
    <mergeCell ref="A16:E16"/>
    <mergeCell ref="A13:E15"/>
    <mergeCell ref="A11:E11"/>
    <mergeCell ref="A9:E9"/>
    <mergeCell ref="A7:E7"/>
    <mergeCell ref="A10:E10"/>
    <mergeCell ref="A12:E12"/>
    <mergeCell ref="A17:E17"/>
    <mergeCell ref="A22:E22"/>
    <mergeCell ref="A8:E8"/>
    <mergeCell ref="B1:E1"/>
    <mergeCell ref="A2:E2"/>
    <mergeCell ref="B5:E5"/>
    <mergeCell ref="B4:E4"/>
    <mergeCell ref="B3:E3"/>
    <mergeCell ref="A27:E27"/>
    <mergeCell ref="A41:E43"/>
    <mergeCell ref="A40:E40"/>
    <mergeCell ref="A37:E39"/>
    <mergeCell ref="A36:E36"/>
    <mergeCell ref="A32:E34"/>
    <mergeCell ref="A28:E30"/>
    <mergeCell ref="A31:E31"/>
    <mergeCell ref="A35:B35"/>
    <mergeCell ref="C35:E35"/>
  </mergeCells>
  <phoneticPr fontId="14"/>
  <conditionalFormatting sqref="A6:A7">
    <cfRule type="expression" dxfId="474" priority="25">
      <formula>OR(#REF!="A",#REF!="※")</formula>
    </cfRule>
    <cfRule type="expression" dxfId="473" priority="26">
      <formula>#REF!="【必須】"</formula>
    </cfRule>
  </conditionalFormatting>
  <conditionalFormatting sqref="A8">
    <cfRule type="containsBlanks" dxfId="472" priority="16">
      <formula>LEN(TRIM(A8))=0</formula>
    </cfRule>
  </conditionalFormatting>
  <conditionalFormatting sqref="A13">
    <cfRule type="containsBlanks" dxfId="471" priority="20">
      <formula>LEN(TRIM(A13))=0</formula>
    </cfRule>
  </conditionalFormatting>
  <conditionalFormatting sqref="A18">
    <cfRule type="containsBlanks" dxfId="470" priority="21">
      <formula>LEN(TRIM(A18))=0</formula>
    </cfRule>
  </conditionalFormatting>
  <conditionalFormatting sqref="A28">
    <cfRule type="containsBlanks" dxfId="469" priority="11">
      <formula>LEN(TRIM(A28))=0</formula>
    </cfRule>
  </conditionalFormatting>
  <conditionalFormatting sqref="A37">
    <cfRule type="containsBlanks" dxfId="468" priority="24">
      <formula>LEN(TRIM(A37))=0</formula>
    </cfRule>
  </conditionalFormatting>
  <conditionalFormatting sqref="A13:E15">
    <cfRule type="expression" dxfId="467" priority="2">
      <formula>$A$13=("（交流計画の目的、趣旨を記入してください）")</formula>
    </cfRule>
  </conditionalFormatting>
  <conditionalFormatting sqref="A32:E35">
    <cfRule type="expression" dxfId="465" priority="3">
      <formula>$C$35="オンライン交流実施なし"</formula>
    </cfRule>
  </conditionalFormatting>
  <conditionalFormatting sqref="A41:E43">
    <cfRule type="containsBlanks" dxfId="464" priority="1">
      <formula>LEN(TRIM(A41))=0</formula>
    </cfRule>
  </conditionalFormatting>
  <conditionalFormatting sqref="B3:D3">
    <cfRule type="expression" dxfId="463" priority="19">
      <formula>OR($B$3="",$B$3="※選択してください")</formula>
    </cfRule>
  </conditionalFormatting>
  <conditionalFormatting sqref="B4:D4">
    <cfRule type="expression" dxfId="462" priority="18">
      <formula>$B4="テーマ未記入　※1)受入れ機関概要シートに記入してください"</formula>
    </cfRule>
  </conditionalFormatting>
  <conditionalFormatting sqref="B5:D5">
    <cfRule type="expression" dxfId="461" priority="17">
      <formula>OR($B$5="",$B$5="コース未選択　※1)受入れ機関概要シートで選択してください")</formula>
    </cfRule>
  </conditionalFormatting>
  <dataValidations count="1">
    <dataValidation type="list" allowBlank="1" showInputMessage="1" showErrorMessage="1" sqref="B3:D3" xr:uid="{F57C1425-ABD0-4CE7-A0E2-84336661296F}">
      <formula1>分野</formula1>
    </dataValidation>
  </dataValidations>
  <printOptions horizontalCentered="1"/>
  <pageMargins left="0.59055118110236227" right="0.59055118110236227" top="0.59055118110236227" bottom="0.39370078740157483" header="0.19685039370078741" footer="0.19685039370078741"/>
  <pageSetup paperSize="9" scale="85" fitToHeight="0" orientation="portrait" r:id="rId1"/>
  <headerFooter>
    <oddHeader>&amp;C&amp;9&amp;F</oddHeader>
    <oddFooter>&amp;C&amp;10&amp;P/&amp;N</oddFooter>
  </headerFooter>
  <rowBreaks count="1" manualBreakCount="1">
    <brk id="25" max="16383" man="1"/>
  </rowBreaks>
  <drawing r:id="rId2"/>
  <extLst>
    <ext xmlns:x14="http://schemas.microsoft.com/office/spreadsheetml/2009/9/main" uri="{78C0D931-6437-407d-A8EE-F0AAD7539E65}">
      <x14:conditionalFormattings>
        <x14:conditionalFormatting xmlns:xm="http://schemas.microsoft.com/office/excel/2006/main">
          <x14:cfRule type="expression" priority="4" id="{AB80BA5A-0D31-48CD-B4E9-A75D9CD322FC}">
            <xm:f>AND($A$32="",'1)受入れ機関概要'!$G$9="オンライン交流実施")</xm:f>
            <x14:dxf>
              <fill>
                <patternFill>
                  <bgColor rgb="FFFFFF99"/>
                </patternFill>
              </fill>
            </x14:dxf>
          </x14:cfRule>
          <xm:sqref>A32:E34</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E6D578-1E49-4E34-843F-92BBC22622B9}">
  <sheetPr codeName="Sheet5">
    <pageSetUpPr fitToPage="1"/>
  </sheetPr>
  <dimension ref="A1:L51"/>
  <sheetViews>
    <sheetView showGridLines="0" view="pageBreakPreview" zoomScaleNormal="100" zoomScaleSheetLayoutView="100" workbookViewId="0"/>
  </sheetViews>
  <sheetFormatPr defaultColWidth="0" defaultRowHeight="15.75"/>
  <cols>
    <col min="1" max="1" width="10.77734375" style="324" customWidth="1"/>
    <col min="2" max="2" width="5" style="324" customWidth="1"/>
    <col min="3" max="3" width="40.6640625" style="324" customWidth="1"/>
    <col min="4" max="6" width="12.77734375" style="324" customWidth="1"/>
    <col min="7" max="8" width="0.88671875" style="324" customWidth="1"/>
    <col min="9" max="9" width="32.77734375" style="324" customWidth="1"/>
    <col min="10" max="10" width="0.109375" style="324" customWidth="1"/>
    <col min="11" max="12" width="0" style="324" hidden="1" customWidth="1"/>
    <col min="13" max="16384" width="8.88671875" style="324" hidden="1"/>
  </cols>
  <sheetData>
    <row r="1" spans="1:11" customFormat="1">
      <c r="A1" s="39"/>
      <c r="F1" s="1" t="str">
        <f>'1)受入れ機関概要'!G1</f>
        <v>Ver.2501</v>
      </c>
      <c r="H1" s="324"/>
      <c r="I1" s="744"/>
      <c r="J1" s="744"/>
    </row>
    <row r="2" spans="1:11" customFormat="1" ht="18" customHeight="1">
      <c r="A2" s="573" t="s">
        <v>160</v>
      </c>
      <c r="B2" s="574"/>
      <c r="C2" s="574"/>
      <c r="D2" s="574"/>
      <c r="E2" s="574"/>
      <c r="F2" s="575"/>
      <c r="H2" s="376"/>
      <c r="I2" s="324"/>
      <c r="J2" s="324"/>
    </row>
    <row r="3" spans="1:11" customFormat="1" ht="19.5" customHeight="1">
      <c r="A3" s="847" t="s">
        <v>241</v>
      </c>
      <c r="B3" s="848"/>
      <c r="C3" s="845" t="str">
        <f>TEXT(IF(AND('1)受入れ機関概要'!C8&lt;&gt;"",'1)受入れ機関概要'!C8&lt;&gt;"入国日"),'1)受入れ機関概要'!C8,"入国日未設定"),"yyyy/m/d")&amp;"　　　～　　　"&amp;TEXT(IF(AND('1)受入れ機関概要'!F8&lt;&gt;"",'1)受入れ機関概要'!F8&lt;&gt;"出国日"),'1)受入れ機関概要'!F8,"出国日未設定"),"yyyy/m/d")</f>
        <v>(入国日)　　　～　　　(出国日)</v>
      </c>
      <c r="D3" s="839" t="str">
        <f>'1)受入れ機関概要'!G8</f>
        <v/>
      </c>
      <c r="E3" s="843"/>
      <c r="F3" s="844"/>
      <c r="H3" s="324"/>
      <c r="I3" s="324"/>
      <c r="J3" s="324"/>
    </row>
    <row r="4" spans="1:11" customFormat="1" ht="19.5" customHeight="1">
      <c r="A4" s="849"/>
      <c r="B4" s="850"/>
      <c r="C4" s="846"/>
      <c r="D4" s="840"/>
      <c r="E4" s="841" t="str">
        <f>IFERROR(IF(E3="","","本事業にて"&amp;DATEDIF('1)受入れ機関概要'!F8,E3,"D")&amp;"日間延長"),"")</f>
        <v/>
      </c>
      <c r="F4" s="842"/>
      <c r="H4" s="324"/>
      <c r="I4" s="324"/>
      <c r="J4" s="324"/>
    </row>
    <row r="5" spans="1:11" customFormat="1" ht="13.5" customHeight="1">
      <c r="A5" s="851" t="s">
        <v>244</v>
      </c>
      <c r="B5" s="852"/>
      <c r="C5" s="853"/>
      <c r="D5" s="859" t="s">
        <v>76</v>
      </c>
      <c r="E5" s="857" t="s">
        <v>25</v>
      </c>
      <c r="F5" s="211" t="s">
        <v>279</v>
      </c>
      <c r="G5" s="170"/>
      <c r="H5" s="324"/>
      <c r="I5" s="365"/>
      <c r="J5" s="324"/>
    </row>
    <row r="6" spans="1:11" customFormat="1" ht="13.5" customHeight="1">
      <c r="A6" s="854"/>
      <c r="B6" s="855"/>
      <c r="C6" s="856"/>
      <c r="D6" s="860"/>
      <c r="E6" s="858"/>
      <c r="F6" s="212" t="s">
        <v>269</v>
      </c>
      <c r="G6" s="258"/>
      <c r="H6" s="377"/>
      <c r="I6" s="365"/>
      <c r="J6" s="377"/>
      <c r="K6" s="259"/>
    </row>
    <row r="7" spans="1:11" customFormat="1" ht="39" customHeight="1">
      <c r="A7" s="171" t="str">
        <f>IF($A8="入国日未設定","期間外","【１日目】")</f>
        <v>期間外</v>
      </c>
      <c r="B7" s="172" t="str">
        <f>IF(A7="期間外","","AM")</f>
        <v/>
      </c>
      <c r="C7" s="173"/>
      <c r="D7" s="122"/>
      <c r="E7" s="835"/>
      <c r="F7" s="837"/>
      <c r="H7" s="324"/>
      <c r="I7" s="365"/>
      <c r="J7" s="324"/>
    </row>
    <row r="8" spans="1:11" customFormat="1" ht="39" customHeight="1">
      <c r="A8" s="107" t="str">
        <f>IF(AND('1)受入れ機関概要'!C8&lt;&gt;"",'1)受入れ機関概要'!C8&lt;&gt;"(入国日)"),'1)受入れ機関概要'!C8,"入国日未設定")</f>
        <v>入国日未設定</v>
      </c>
      <c r="B8" s="108" t="str">
        <f>IF(A7="期間外","","PM")</f>
        <v/>
      </c>
      <c r="C8" s="104"/>
      <c r="D8" s="123"/>
      <c r="E8" s="836"/>
      <c r="F8" s="838"/>
      <c r="H8" s="324"/>
      <c r="I8" s="365"/>
      <c r="J8" s="324"/>
    </row>
    <row r="9" spans="1:11" customFormat="1" ht="39" customHeight="1">
      <c r="A9" s="105" t="str">
        <f>IF(A10&lt;&gt;"","【２日目】","期間外")</f>
        <v>期間外</v>
      </c>
      <c r="B9" s="106" t="str">
        <f>IF(A9="期間外","","AM")</f>
        <v/>
      </c>
      <c r="C9" s="103"/>
      <c r="D9" s="122"/>
      <c r="E9" s="835"/>
      <c r="F9" s="837"/>
      <c r="H9" s="324"/>
      <c r="I9" s="365"/>
      <c r="J9" s="324"/>
    </row>
    <row r="10" spans="1:11" customFormat="1" ht="39" customHeight="1">
      <c r="A10" s="107" t="str">
        <f>IF(AND($D$3&gt;=2,$D$3&lt;&gt;""),(IF(ISERROR(A8+1),"",A8+1)),"")</f>
        <v/>
      </c>
      <c r="B10" s="108" t="str">
        <f>IF(A9="期間外","","PM")</f>
        <v/>
      </c>
      <c r="C10" s="104"/>
      <c r="D10" s="123"/>
      <c r="E10" s="836"/>
      <c r="F10" s="838"/>
      <c r="H10" s="324"/>
      <c r="I10" s="324"/>
      <c r="J10" s="324"/>
    </row>
    <row r="11" spans="1:11" customFormat="1" ht="39" customHeight="1">
      <c r="A11" s="105" t="str">
        <f>IF(A12&lt;&gt;"","【3日目】","期間外")</f>
        <v>期間外</v>
      </c>
      <c r="B11" s="106" t="str">
        <f>IF(A11="期間外","","AM")</f>
        <v/>
      </c>
      <c r="C11" s="103"/>
      <c r="D11" s="122"/>
      <c r="E11" s="835"/>
      <c r="F11" s="837"/>
      <c r="H11" s="324"/>
      <c r="I11" s="403"/>
      <c r="J11" s="324"/>
    </row>
    <row r="12" spans="1:11" customFormat="1" ht="39" customHeight="1">
      <c r="A12" s="107" t="str">
        <f>IF($D$3&gt;=3,(IF(ISERROR(A10+1),"",A10+1)),"")</f>
        <v/>
      </c>
      <c r="B12" s="108" t="str">
        <f>IF(A11="期間外","","PM")</f>
        <v/>
      </c>
      <c r="C12" s="104"/>
      <c r="D12" s="123"/>
      <c r="E12" s="836"/>
      <c r="F12" s="838"/>
      <c r="H12" s="324"/>
      <c r="I12" s="403"/>
      <c r="J12" s="324"/>
    </row>
    <row r="13" spans="1:11" customFormat="1" ht="39" customHeight="1">
      <c r="A13" s="105" t="str">
        <f>IF(A14&lt;&gt;"","【4日目】","期間外")</f>
        <v>期間外</v>
      </c>
      <c r="B13" s="106" t="str">
        <f>IF(A13="期間外","","AM")</f>
        <v/>
      </c>
      <c r="C13" s="103"/>
      <c r="D13" s="122"/>
      <c r="E13" s="835"/>
      <c r="F13" s="837"/>
      <c r="H13" s="324"/>
      <c r="I13" s="403"/>
      <c r="J13" s="324"/>
    </row>
    <row r="14" spans="1:11" customFormat="1" ht="39" customHeight="1">
      <c r="A14" s="107" t="str">
        <f>IF($D$3&gt;=4,(IF(ISERROR(A12+1),"",A12+1)),"")</f>
        <v/>
      </c>
      <c r="B14" s="108" t="str">
        <f>IF(A13="期間外","","PM")</f>
        <v/>
      </c>
      <c r="C14" s="104"/>
      <c r="D14" s="123"/>
      <c r="E14" s="836"/>
      <c r="F14" s="838"/>
      <c r="H14" s="324"/>
      <c r="I14" s="403"/>
      <c r="J14" s="324"/>
    </row>
    <row r="15" spans="1:11" customFormat="1" ht="39" customHeight="1">
      <c r="A15" s="105" t="str">
        <f>IF(A16&lt;&gt;"","【5日目】","期間外")</f>
        <v>期間外</v>
      </c>
      <c r="B15" s="106" t="str">
        <f>IF(A15="期間外","","AM")</f>
        <v/>
      </c>
      <c r="C15" s="103"/>
      <c r="D15" s="122"/>
      <c r="E15" s="835"/>
      <c r="F15" s="837"/>
      <c r="H15" s="324"/>
      <c r="I15" s="403"/>
      <c r="J15" s="324"/>
    </row>
    <row r="16" spans="1:11" customFormat="1" ht="39" customHeight="1">
      <c r="A16" s="107" t="str">
        <f>IF($D$3&gt;=5,(IF(ISERROR(A14+1),"",A14+1)),"")</f>
        <v/>
      </c>
      <c r="B16" s="108" t="str">
        <f>IF(A15="期間外","","PM")</f>
        <v/>
      </c>
      <c r="C16" s="104"/>
      <c r="D16" s="123"/>
      <c r="E16" s="836"/>
      <c r="F16" s="838"/>
      <c r="H16" s="324"/>
      <c r="I16" s="403"/>
      <c r="J16" s="324"/>
    </row>
    <row r="17" spans="1:10" customFormat="1" ht="39" customHeight="1">
      <c r="A17" s="105" t="str">
        <f>IF(A18&lt;&gt;"","【6日目】","期間外")</f>
        <v>期間外</v>
      </c>
      <c r="B17" s="106" t="str">
        <f>IF(A17="期間外","","AM")</f>
        <v/>
      </c>
      <c r="C17" s="103"/>
      <c r="D17" s="122"/>
      <c r="E17" s="835"/>
      <c r="F17" s="837"/>
      <c r="H17" s="324"/>
      <c r="I17" s="403"/>
      <c r="J17" s="324"/>
    </row>
    <row r="18" spans="1:10" customFormat="1" ht="39" customHeight="1">
      <c r="A18" s="107" t="str">
        <f>IF($D$3&gt;=6,(IF(ISERROR(A16+1),"",A16+1)),"")</f>
        <v/>
      </c>
      <c r="B18" s="108" t="str">
        <f>IF(A17="期間外","","PM")</f>
        <v/>
      </c>
      <c r="C18" s="104"/>
      <c r="D18" s="123"/>
      <c r="E18" s="836"/>
      <c r="F18" s="838"/>
      <c r="H18" s="324"/>
      <c r="I18" s="403"/>
      <c r="J18" s="324"/>
    </row>
    <row r="19" spans="1:10" customFormat="1" ht="39" customHeight="1">
      <c r="A19" s="105" t="str">
        <f>IF(A20&lt;&gt;"","【7日目】","期間外")</f>
        <v>期間外</v>
      </c>
      <c r="B19" s="106" t="str">
        <f>IF(A19="期間外","","AM")</f>
        <v/>
      </c>
      <c r="C19" s="103"/>
      <c r="D19" s="122"/>
      <c r="E19" s="835"/>
      <c r="F19" s="837"/>
      <c r="H19" s="324"/>
      <c r="I19" s="324"/>
      <c r="J19" s="324"/>
    </row>
    <row r="20" spans="1:10" customFormat="1" ht="39" customHeight="1">
      <c r="A20" s="107" t="str">
        <f>IF($D$3&gt;=7,(IF(ISERROR(A18+1),"",A18+1)),"")</f>
        <v/>
      </c>
      <c r="B20" s="108" t="str">
        <f>IF(A19="期間外","","PM")</f>
        <v/>
      </c>
      <c r="C20" s="104"/>
      <c r="D20" s="123"/>
      <c r="E20" s="836"/>
      <c r="F20" s="838"/>
      <c r="H20" s="324"/>
      <c r="I20" s="324"/>
      <c r="J20" s="324"/>
    </row>
    <row r="21" spans="1:10" customFormat="1" ht="39" customHeight="1">
      <c r="A21" s="105" t="str">
        <f>IF(A22&lt;&gt;"","【8日目】","期間外")</f>
        <v>期間外</v>
      </c>
      <c r="B21" s="106" t="str">
        <f>IF(A21="期間外","","AM")</f>
        <v/>
      </c>
      <c r="C21" s="103"/>
      <c r="D21" s="122"/>
      <c r="E21" s="835"/>
      <c r="F21" s="837"/>
      <c r="H21" s="324"/>
      <c r="I21" s="324"/>
      <c r="J21" s="324"/>
    </row>
    <row r="22" spans="1:10" customFormat="1" ht="39" customHeight="1">
      <c r="A22" s="107" t="str">
        <f>IF($D$3&gt;=8,(IF(ISERROR(A20+1),"",A20+1)),"")</f>
        <v/>
      </c>
      <c r="B22" s="108" t="str">
        <f>IF(A21="期間外","","PM")</f>
        <v/>
      </c>
      <c r="C22" s="104"/>
      <c r="D22" s="123"/>
      <c r="E22" s="836"/>
      <c r="F22" s="838"/>
      <c r="H22" s="324"/>
      <c r="I22" s="324"/>
      <c r="J22" s="324"/>
    </row>
    <row r="23" spans="1:10" customFormat="1" ht="39" customHeight="1">
      <c r="A23" s="105" t="str">
        <f>IF(A24&lt;&gt;"","【9日目】","期間外")</f>
        <v>期間外</v>
      </c>
      <c r="B23" s="106" t="str">
        <f>IF(A23="期間外","","AM")</f>
        <v/>
      </c>
      <c r="C23" s="103"/>
      <c r="D23" s="122"/>
      <c r="E23" s="835"/>
      <c r="F23" s="837"/>
      <c r="H23" s="324"/>
      <c r="I23" s="324"/>
      <c r="J23" s="324"/>
    </row>
    <row r="24" spans="1:10" customFormat="1" ht="39" customHeight="1">
      <c r="A24" s="107" t="str">
        <f>IF($D$3&gt;=9,(IF(ISERROR(A22+1),"",A22+1)),"")</f>
        <v/>
      </c>
      <c r="B24" s="108" t="str">
        <f>IF(A23="期間外","","PM")</f>
        <v/>
      </c>
      <c r="C24" s="104"/>
      <c r="D24" s="123"/>
      <c r="E24" s="836"/>
      <c r="F24" s="838"/>
      <c r="H24" s="324"/>
      <c r="I24" s="324"/>
      <c r="J24" s="324"/>
    </row>
    <row r="25" spans="1:10" customFormat="1" ht="39" customHeight="1">
      <c r="A25" s="105" t="str">
        <f>IF(A26&lt;&gt;"","【10日目】","期間外")</f>
        <v>期間外</v>
      </c>
      <c r="B25" s="106" t="str">
        <f>IF(A25="期間外","","AM")</f>
        <v/>
      </c>
      <c r="C25" s="103"/>
      <c r="D25" s="122"/>
      <c r="E25" s="835"/>
      <c r="F25" s="837"/>
      <c r="H25" s="324"/>
      <c r="I25" s="324"/>
      <c r="J25" s="324"/>
    </row>
    <row r="26" spans="1:10" customFormat="1" ht="39" customHeight="1">
      <c r="A26" s="107" t="str">
        <f>IF($D$3&gt;=10,(IF(ISERROR(A24+1),"",A24+1)),"")</f>
        <v/>
      </c>
      <c r="B26" s="108" t="str">
        <f>IF(A25="期間外","","PM")</f>
        <v/>
      </c>
      <c r="C26" s="104"/>
      <c r="D26" s="123"/>
      <c r="E26" s="836"/>
      <c r="F26" s="838"/>
      <c r="H26" s="324"/>
      <c r="I26" s="324"/>
      <c r="J26" s="324"/>
    </row>
    <row r="27" spans="1:10" customFormat="1" ht="39" customHeight="1">
      <c r="A27" s="105" t="str">
        <f>IF(A28&lt;&gt;"","【11日目】","期間外")</f>
        <v>期間外</v>
      </c>
      <c r="B27" s="106" t="str">
        <f>IF(A27="期間外","","AM")</f>
        <v/>
      </c>
      <c r="C27" s="103"/>
      <c r="D27" s="122"/>
      <c r="E27" s="835"/>
      <c r="F27" s="837"/>
      <c r="H27" s="324"/>
      <c r="I27" s="324"/>
      <c r="J27" s="324"/>
    </row>
    <row r="28" spans="1:10" customFormat="1" ht="39" customHeight="1">
      <c r="A28" s="107" t="str">
        <f>IF($D$3&gt;=11,(IF(ISERROR(A26+1),"",A26+1)),"")</f>
        <v/>
      </c>
      <c r="B28" s="108" t="str">
        <f>IF(A27="期間外","","PM")</f>
        <v/>
      </c>
      <c r="C28" s="104"/>
      <c r="D28" s="123"/>
      <c r="E28" s="836"/>
      <c r="F28" s="838"/>
      <c r="H28" s="324"/>
      <c r="I28" s="324"/>
      <c r="J28" s="324"/>
    </row>
    <row r="29" spans="1:10" customFormat="1" ht="39" customHeight="1">
      <c r="A29" s="105" t="str">
        <f>IF(A30&lt;&gt;"","【12日目】","期間外")</f>
        <v>期間外</v>
      </c>
      <c r="B29" s="106" t="str">
        <f>IF(A29="期間外","","AM")</f>
        <v/>
      </c>
      <c r="C29" s="103"/>
      <c r="D29" s="122"/>
      <c r="E29" s="835"/>
      <c r="F29" s="837"/>
      <c r="H29" s="324"/>
      <c r="I29" s="324"/>
      <c r="J29" s="324"/>
    </row>
    <row r="30" spans="1:10" customFormat="1" ht="39" customHeight="1">
      <c r="A30" s="107" t="str">
        <f>IF($D$3&gt;=12,(IF(ISERROR(A28+1),"",A28+1)),"")</f>
        <v/>
      </c>
      <c r="B30" s="108" t="str">
        <f>IF(A29="期間外","","PM")</f>
        <v/>
      </c>
      <c r="C30" s="104"/>
      <c r="D30" s="123"/>
      <c r="E30" s="836"/>
      <c r="F30" s="838"/>
      <c r="H30" s="324"/>
      <c r="I30" s="324"/>
      <c r="J30" s="324"/>
    </row>
    <row r="31" spans="1:10" customFormat="1" ht="39" customHeight="1">
      <c r="A31" s="105" t="str">
        <f>IF(A32&lt;&gt;"","【13日目】","期間外")</f>
        <v>期間外</v>
      </c>
      <c r="B31" s="106" t="str">
        <f>IF(A31="期間外","","AM")</f>
        <v/>
      </c>
      <c r="C31" s="103"/>
      <c r="D31" s="122"/>
      <c r="E31" s="835"/>
      <c r="F31" s="837"/>
      <c r="H31" s="324"/>
      <c r="I31" s="324"/>
      <c r="J31" s="324"/>
    </row>
    <row r="32" spans="1:10" customFormat="1" ht="39" customHeight="1">
      <c r="A32" s="107" t="str">
        <f>IF($D$3&gt;=13,(IF(ISERROR(A30+1),"",A30+1)),"")</f>
        <v/>
      </c>
      <c r="B32" s="108" t="str">
        <f>IF(A31="期間外","","PM")</f>
        <v/>
      </c>
      <c r="C32" s="104"/>
      <c r="D32" s="123"/>
      <c r="E32" s="836"/>
      <c r="F32" s="838"/>
      <c r="H32" s="324"/>
      <c r="I32" s="324"/>
      <c r="J32" s="324"/>
    </row>
    <row r="33" spans="1:10" customFormat="1" ht="39" customHeight="1">
      <c r="A33" s="105" t="str">
        <f>IF(A34&lt;&gt;"","【14日目】","期間外")</f>
        <v>期間外</v>
      </c>
      <c r="B33" s="106" t="str">
        <f>IF(A33="期間外","","AM")</f>
        <v/>
      </c>
      <c r="C33" s="103"/>
      <c r="D33" s="122"/>
      <c r="E33" s="835"/>
      <c r="F33" s="837"/>
      <c r="H33" s="324"/>
      <c r="I33" s="324"/>
      <c r="J33" s="324"/>
    </row>
    <row r="34" spans="1:10" customFormat="1" ht="39" customHeight="1">
      <c r="A34" s="107" t="str">
        <f>IF($D$3&gt;=14,(IF(ISERROR(A32+1),"",A32+1)),"")</f>
        <v/>
      </c>
      <c r="B34" s="108" t="str">
        <f>IF(A33="期間外","","PM")</f>
        <v/>
      </c>
      <c r="C34" s="104"/>
      <c r="D34" s="123"/>
      <c r="E34" s="836"/>
      <c r="F34" s="838"/>
      <c r="H34" s="324"/>
      <c r="I34" s="324"/>
      <c r="J34" s="324"/>
    </row>
    <row r="35" spans="1:10" customFormat="1" ht="39" customHeight="1">
      <c r="A35" s="105" t="str">
        <f>IF(A36&lt;&gt;"","【15日目】","期間外")</f>
        <v>期間外</v>
      </c>
      <c r="B35" s="106" t="str">
        <f>IF(A35="期間外","","AM")</f>
        <v/>
      </c>
      <c r="C35" s="103"/>
      <c r="D35" s="122"/>
      <c r="E35" s="835"/>
      <c r="F35" s="837"/>
      <c r="H35" s="324"/>
      <c r="I35" s="324"/>
      <c r="J35" s="324"/>
    </row>
    <row r="36" spans="1:10" customFormat="1" ht="39" customHeight="1">
      <c r="A36" s="107" t="str">
        <f>IF($D$3&gt;=15,(IF(ISERROR(A34+1),"",A34+1)),"")</f>
        <v/>
      </c>
      <c r="B36" s="108" t="str">
        <f>IF(A35="期間外","","PM")</f>
        <v/>
      </c>
      <c r="C36" s="104"/>
      <c r="D36" s="123"/>
      <c r="E36" s="836"/>
      <c r="F36" s="838"/>
      <c r="H36" s="324"/>
      <c r="I36" s="324"/>
      <c r="J36" s="324"/>
    </row>
    <row r="37" spans="1:10" customFormat="1" ht="39" customHeight="1">
      <c r="A37" s="105" t="str">
        <f>IF(A38&lt;&gt;"","【16日目】","期間外")</f>
        <v>期間外</v>
      </c>
      <c r="B37" s="106" t="str">
        <f>IF(A37="期間外","","AM")</f>
        <v/>
      </c>
      <c r="C37" s="103"/>
      <c r="D37" s="122"/>
      <c r="E37" s="835"/>
      <c r="F37" s="837"/>
      <c r="H37" s="324"/>
      <c r="I37" s="324"/>
      <c r="J37" s="324"/>
    </row>
    <row r="38" spans="1:10" customFormat="1" ht="39" customHeight="1">
      <c r="A38" s="107" t="str">
        <f>IF($D$3&gt;=16,(IF(ISERROR(A36+1),"",A36+1)),"")</f>
        <v/>
      </c>
      <c r="B38" s="108" t="str">
        <f>IF(A37="期間外","","PM")</f>
        <v/>
      </c>
      <c r="C38" s="104"/>
      <c r="D38" s="123"/>
      <c r="E38" s="836"/>
      <c r="F38" s="838"/>
      <c r="H38" s="324"/>
      <c r="I38" s="324"/>
      <c r="J38" s="324"/>
    </row>
    <row r="39" spans="1:10" customFormat="1" ht="39" customHeight="1">
      <c r="A39" s="105" t="str">
        <f>IF(A40&lt;&gt;"","【17日目】","期間外")</f>
        <v>期間外</v>
      </c>
      <c r="B39" s="106" t="str">
        <f>IF(A39="期間外","","AM")</f>
        <v/>
      </c>
      <c r="C39" s="103"/>
      <c r="D39" s="122"/>
      <c r="E39" s="835"/>
      <c r="F39" s="837"/>
      <c r="H39" s="324"/>
      <c r="I39" s="324"/>
      <c r="J39" s="324"/>
    </row>
    <row r="40" spans="1:10" customFormat="1" ht="39" customHeight="1">
      <c r="A40" s="107" t="str">
        <f>IF($D$3&gt;=17,(IF(ISERROR(A38+1),"",A38+1)),"")</f>
        <v/>
      </c>
      <c r="B40" s="108" t="str">
        <f>IF(A39="期間外","","PM")</f>
        <v/>
      </c>
      <c r="C40" s="104"/>
      <c r="D40" s="123"/>
      <c r="E40" s="836"/>
      <c r="F40" s="838"/>
      <c r="H40" s="324"/>
      <c r="I40" s="324"/>
      <c r="J40" s="324"/>
    </row>
    <row r="41" spans="1:10" customFormat="1" ht="39" customHeight="1">
      <c r="A41" s="105" t="str">
        <f>IF(A42&lt;&gt;"","【18日目】","期間外")</f>
        <v>期間外</v>
      </c>
      <c r="B41" s="106" t="str">
        <f>IF(A41="期間外","","AM")</f>
        <v/>
      </c>
      <c r="C41" s="103"/>
      <c r="D41" s="122"/>
      <c r="E41" s="835"/>
      <c r="F41" s="837"/>
      <c r="H41" s="324"/>
      <c r="I41" s="324"/>
      <c r="J41" s="324"/>
    </row>
    <row r="42" spans="1:10" customFormat="1" ht="39" customHeight="1">
      <c r="A42" s="107" t="str">
        <f>IF($D$3&gt;=18,(IF(ISERROR(A40+1),"",A40+1)),"")</f>
        <v/>
      </c>
      <c r="B42" s="108" t="str">
        <f>IF(A41="期間外","","PM")</f>
        <v/>
      </c>
      <c r="C42" s="104"/>
      <c r="D42" s="123"/>
      <c r="E42" s="836"/>
      <c r="F42" s="838"/>
      <c r="H42" s="324"/>
      <c r="I42" s="324"/>
      <c r="J42" s="324"/>
    </row>
    <row r="43" spans="1:10" customFormat="1" ht="39" customHeight="1">
      <c r="A43" s="105" t="str">
        <f>IF(A44&lt;&gt;"","【19日目】","期間外")</f>
        <v>期間外</v>
      </c>
      <c r="B43" s="106" t="str">
        <f>IF(A43="期間外","","AM")</f>
        <v/>
      </c>
      <c r="C43" s="103"/>
      <c r="D43" s="122"/>
      <c r="E43" s="835"/>
      <c r="F43" s="837"/>
      <c r="H43" s="324"/>
      <c r="I43" s="324"/>
      <c r="J43" s="324"/>
    </row>
    <row r="44" spans="1:10" customFormat="1" ht="39" customHeight="1">
      <c r="A44" s="107" t="str">
        <f>IF($D$3&gt;=19,(IF(ISERROR(A42+1),"",A42+1)),"")</f>
        <v/>
      </c>
      <c r="B44" s="108" t="str">
        <f>IF(A43="期間外","","PM")</f>
        <v/>
      </c>
      <c r="C44" s="104"/>
      <c r="D44" s="123"/>
      <c r="E44" s="836"/>
      <c r="F44" s="838"/>
      <c r="H44" s="324"/>
      <c r="I44" s="324"/>
      <c r="J44" s="324"/>
    </row>
    <row r="45" spans="1:10" customFormat="1" ht="39" customHeight="1">
      <c r="A45" s="105" t="str">
        <f>IF(A46&lt;&gt;"","【20日目】","期間外")</f>
        <v>期間外</v>
      </c>
      <c r="B45" s="106" t="str">
        <f>IF(A45="期間外","","AM")</f>
        <v/>
      </c>
      <c r="C45" s="103"/>
      <c r="D45" s="122"/>
      <c r="E45" s="835"/>
      <c r="F45" s="837"/>
      <c r="H45" s="324"/>
      <c r="I45" s="324"/>
      <c r="J45" s="324"/>
    </row>
    <row r="46" spans="1:10" customFormat="1" ht="39" customHeight="1">
      <c r="A46" s="107" t="str">
        <f>IF($D$3&gt;=20,(IF(ISERROR(A44+1),"",A44+1)),"")</f>
        <v/>
      </c>
      <c r="B46" s="108" t="str">
        <f>IF(A45="期間外","","PM")</f>
        <v/>
      </c>
      <c r="C46" s="104"/>
      <c r="D46" s="123"/>
      <c r="E46" s="836"/>
      <c r="F46" s="838"/>
      <c r="H46" s="324"/>
      <c r="I46" s="324"/>
      <c r="J46" s="324"/>
    </row>
    <row r="47" spans="1:10" customFormat="1" ht="39" customHeight="1">
      <c r="A47" s="105" t="str">
        <f>IF(A48&lt;&gt;"","【21日目】","期間外")</f>
        <v>期間外</v>
      </c>
      <c r="B47" s="106" t="str">
        <f>IF(A47="期間外","","AM")</f>
        <v/>
      </c>
      <c r="C47" s="103"/>
      <c r="D47" s="122"/>
      <c r="E47" s="835"/>
      <c r="F47" s="837"/>
      <c r="H47" s="324"/>
      <c r="I47" s="324"/>
      <c r="J47" s="324"/>
    </row>
    <row r="48" spans="1:10" customFormat="1" ht="39" customHeight="1">
      <c r="A48" s="107" t="str">
        <f>IF($D$3&gt;=21,(IF(ISERROR(A46+1),"",A46+1)),"")</f>
        <v/>
      </c>
      <c r="B48" s="108" t="str">
        <f>IF(A47="期間外","","PM")</f>
        <v/>
      </c>
      <c r="C48" s="104"/>
      <c r="D48" s="123"/>
      <c r="E48" s="836"/>
      <c r="F48" s="838"/>
      <c r="H48" s="324"/>
      <c r="I48" s="324"/>
      <c r="J48" s="324"/>
    </row>
    <row r="49" spans="1:10" customFormat="1" ht="39" customHeight="1">
      <c r="A49" s="105" t="s">
        <v>245</v>
      </c>
      <c r="B49" s="106"/>
      <c r="C49" s="103"/>
      <c r="D49" s="122"/>
      <c r="E49" s="835"/>
      <c r="F49" s="837"/>
      <c r="H49" s="324"/>
      <c r="I49" s="324"/>
      <c r="J49" s="324"/>
    </row>
    <row r="50" spans="1:10" customFormat="1" ht="39" customHeight="1">
      <c r="A50" s="107" t="str">
        <f>IF($D$3&gt;=21,(IF(ISERROR(A48+1),"",A48+1)),"")</f>
        <v/>
      </c>
      <c r="B50" s="108"/>
      <c r="C50" s="104"/>
      <c r="D50" s="123"/>
      <c r="E50" s="836"/>
      <c r="F50" s="838"/>
      <c r="H50" s="324"/>
      <c r="I50" s="324"/>
      <c r="J50" s="324"/>
    </row>
    <row r="51" spans="1:10" customFormat="1">
      <c r="H51" s="324"/>
      <c r="I51" s="324"/>
      <c r="J51" s="324"/>
    </row>
  </sheetData>
  <sheetProtection algorithmName="SHA-512" hashValue="EXjstinXprx4IL6ca2gVnWHyI8tog03DxCA6fM6X61iAfbmsZ0XdLrTRp4BmjukACKrNfKrKrJjH+O04SRLVbg==" saltValue="biqSUcqw2Fy05Z7h1GfzJg==" spinCount="100000" sheet="1" formatCells="0" formatColumns="0" formatRows="0" selectLockedCells="1"/>
  <mergeCells count="54">
    <mergeCell ref="I1:J1"/>
    <mergeCell ref="A2:F2"/>
    <mergeCell ref="E9:E10"/>
    <mergeCell ref="F9:F10"/>
    <mergeCell ref="E7:E8"/>
    <mergeCell ref="F7:F8"/>
    <mergeCell ref="D3:D4"/>
    <mergeCell ref="E4:F4"/>
    <mergeCell ref="E3:F3"/>
    <mergeCell ref="C3:C4"/>
    <mergeCell ref="A3:B4"/>
    <mergeCell ref="A5:C6"/>
    <mergeCell ref="E5:E6"/>
    <mergeCell ref="D5:D6"/>
    <mergeCell ref="E15:E16"/>
    <mergeCell ref="F15:F16"/>
    <mergeCell ref="E13:E14"/>
    <mergeCell ref="F13:F14"/>
    <mergeCell ref="E11:E12"/>
    <mergeCell ref="F11:F12"/>
    <mergeCell ref="E21:E22"/>
    <mergeCell ref="F21:F22"/>
    <mergeCell ref="E19:E20"/>
    <mergeCell ref="F19:F20"/>
    <mergeCell ref="E17:E18"/>
    <mergeCell ref="F17:F18"/>
    <mergeCell ref="E27:E28"/>
    <mergeCell ref="F27:F28"/>
    <mergeCell ref="E25:E26"/>
    <mergeCell ref="F25:F26"/>
    <mergeCell ref="E23:E24"/>
    <mergeCell ref="F23:F24"/>
    <mergeCell ref="E33:E34"/>
    <mergeCell ref="F33:F34"/>
    <mergeCell ref="E31:E32"/>
    <mergeCell ref="F31:F32"/>
    <mergeCell ref="E29:E30"/>
    <mergeCell ref="F29:F30"/>
    <mergeCell ref="E49:E50"/>
    <mergeCell ref="F49:F50"/>
    <mergeCell ref="E35:E36"/>
    <mergeCell ref="F35:F36"/>
    <mergeCell ref="E41:E42"/>
    <mergeCell ref="F41:F42"/>
    <mergeCell ref="E39:E40"/>
    <mergeCell ref="F39:F40"/>
    <mergeCell ref="E37:E38"/>
    <mergeCell ref="F37:F38"/>
    <mergeCell ref="E47:E48"/>
    <mergeCell ref="F47:F48"/>
    <mergeCell ref="E45:E46"/>
    <mergeCell ref="F45:F46"/>
    <mergeCell ref="E43:E44"/>
    <mergeCell ref="F43:F44"/>
  </mergeCells>
  <phoneticPr fontId="14"/>
  <conditionalFormatting sqref="A7">
    <cfRule type="expression" dxfId="460" priority="554">
      <formula>$A$7&lt;&gt;"期間外"</formula>
    </cfRule>
  </conditionalFormatting>
  <conditionalFormatting sqref="A8">
    <cfRule type="expression" dxfId="459" priority="553">
      <formula>$A$8&lt;&gt;"入国日未設定"</formula>
    </cfRule>
  </conditionalFormatting>
  <conditionalFormatting sqref="A9">
    <cfRule type="expression" dxfId="458" priority="552">
      <formula>$A$9&lt;&gt;"期間外"</formula>
    </cfRule>
  </conditionalFormatting>
  <conditionalFormatting sqref="A10">
    <cfRule type="notContainsBlanks" dxfId="457" priority="752">
      <formula>LEN(TRIM(A10))&gt;0</formula>
    </cfRule>
  </conditionalFormatting>
  <conditionalFormatting sqref="A11">
    <cfRule type="expression" dxfId="456" priority="551">
      <formula>$A$11&lt;&gt;"期間外"</formula>
    </cfRule>
  </conditionalFormatting>
  <conditionalFormatting sqref="A12">
    <cfRule type="notContainsBlanks" dxfId="455" priority="529">
      <formula>LEN(TRIM(A12))&gt;0</formula>
    </cfRule>
  </conditionalFormatting>
  <conditionalFormatting sqref="A13">
    <cfRule type="expression" dxfId="454" priority="338">
      <formula>$A$13&lt;&gt;"期間外"</formula>
    </cfRule>
  </conditionalFormatting>
  <conditionalFormatting sqref="A14">
    <cfRule type="notContainsBlanks" dxfId="453" priority="528">
      <formula>LEN(TRIM(A14))&gt;0</formula>
    </cfRule>
  </conditionalFormatting>
  <conditionalFormatting sqref="A15">
    <cfRule type="expression" dxfId="452" priority="549">
      <formula>$A$15&lt;&gt;"期間外"</formula>
    </cfRule>
  </conditionalFormatting>
  <conditionalFormatting sqref="A16">
    <cfRule type="notContainsBlanks" dxfId="451" priority="527">
      <formula>LEN(TRIM(A16))&gt;0</formula>
    </cfRule>
  </conditionalFormatting>
  <conditionalFormatting sqref="A17">
    <cfRule type="expression" dxfId="450" priority="546">
      <formula>$A17&lt;&gt;"期間外"</formula>
    </cfRule>
  </conditionalFormatting>
  <conditionalFormatting sqref="A18">
    <cfRule type="notContainsBlanks" dxfId="449" priority="526">
      <formula>LEN(TRIM(A18))&gt;0</formula>
    </cfRule>
  </conditionalFormatting>
  <conditionalFormatting sqref="A19">
    <cfRule type="expression" dxfId="448" priority="545">
      <formula>$A19&lt;&gt;"期間外"</formula>
    </cfRule>
  </conditionalFormatting>
  <conditionalFormatting sqref="A20">
    <cfRule type="notContainsBlanks" dxfId="447" priority="525">
      <formula>LEN(TRIM(A20))&gt;0</formula>
    </cfRule>
  </conditionalFormatting>
  <conditionalFormatting sqref="A21">
    <cfRule type="expression" dxfId="446" priority="544">
      <formula>$A21&lt;&gt;"期間外"</formula>
    </cfRule>
  </conditionalFormatting>
  <conditionalFormatting sqref="A22">
    <cfRule type="notContainsBlanks" dxfId="445" priority="524">
      <formula>LEN(TRIM(A22))&gt;0</formula>
    </cfRule>
  </conditionalFormatting>
  <conditionalFormatting sqref="A23">
    <cfRule type="expression" dxfId="444" priority="543">
      <formula>$A23&lt;&gt;"期間外"</formula>
    </cfRule>
  </conditionalFormatting>
  <conditionalFormatting sqref="A24">
    <cfRule type="notContainsBlanks" dxfId="443" priority="523">
      <formula>LEN(TRIM(A24))&gt;0</formula>
    </cfRule>
  </conditionalFormatting>
  <conditionalFormatting sqref="A25">
    <cfRule type="expression" dxfId="442" priority="542">
      <formula>$A25&lt;&gt;"期間外"</formula>
    </cfRule>
  </conditionalFormatting>
  <conditionalFormatting sqref="A26">
    <cfRule type="notContainsBlanks" dxfId="441" priority="522">
      <formula>LEN(TRIM(A26))&gt;0</formula>
    </cfRule>
  </conditionalFormatting>
  <conditionalFormatting sqref="A27">
    <cfRule type="expression" dxfId="440" priority="541">
      <formula>$A27&lt;&gt;"期間外"</formula>
    </cfRule>
  </conditionalFormatting>
  <conditionalFormatting sqref="A28">
    <cfRule type="notContainsBlanks" dxfId="439" priority="521">
      <formula>LEN(TRIM(A28))&gt;0</formula>
    </cfRule>
  </conditionalFormatting>
  <conditionalFormatting sqref="A29">
    <cfRule type="expression" dxfId="438" priority="540">
      <formula>$A29&lt;&gt;"期間外"</formula>
    </cfRule>
  </conditionalFormatting>
  <conditionalFormatting sqref="A30">
    <cfRule type="notContainsBlanks" dxfId="437" priority="520">
      <formula>LEN(TRIM(A30))&gt;0</formula>
    </cfRule>
  </conditionalFormatting>
  <conditionalFormatting sqref="A31">
    <cfRule type="expression" dxfId="436" priority="539">
      <formula>$A31&lt;&gt;"期間外"</formula>
    </cfRule>
  </conditionalFormatting>
  <conditionalFormatting sqref="A32">
    <cfRule type="notContainsBlanks" dxfId="435" priority="753">
      <formula>LEN(TRIM(A32))&gt;0</formula>
    </cfRule>
  </conditionalFormatting>
  <conditionalFormatting sqref="A33">
    <cfRule type="expression" dxfId="434" priority="538">
      <formula>$A33&lt;&gt;"期間外"</formula>
    </cfRule>
  </conditionalFormatting>
  <conditionalFormatting sqref="A34">
    <cfRule type="notContainsBlanks" dxfId="433" priority="518">
      <formula>LEN(TRIM(A34))&gt;0</formula>
    </cfRule>
  </conditionalFormatting>
  <conditionalFormatting sqref="A35">
    <cfRule type="expression" dxfId="432" priority="537">
      <formula>$A35&lt;&gt;"期間外"</formula>
    </cfRule>
  </conditionalFormatting>
  <conditionalFormatting sqref="A36">
    <cfRule type="notContainsBlanks" dxfId="431" priority="517">
      <formula>LEN(TRIM(A36))&gt;0</formula>
    </cfRule>
  </conditionalFormatting>
  <conditionalFormatting sqref="A37">
    <cfRule type="expression" dxfId="430" priority="536">
      <formula>$A37&lt;&gt;"期間外"</formula>
    </cfRule>
  </conditionalFormatting>
  <conditionalFormatting sqref="A38">
    <cfRule type="notContainsBlanks" dxfId="429" priority="516">
      <formula>LEN(TRIM(A38))&gt;0</formula>
    </cfRule>
  </conditionalFormatting>
  <conditionalFormatting sqref="A39">
    <cfRule type="expression" dxfId="428" priority="535">
      <formula>$A39&lt;&gt;"期間外"</formula>
    </cfRule>
  </conditionalFormatting>
  <conditionalFormatting sqref="A40">
    <cfRule type="notContainsBlanks" dxfId="427" priority="515">
      <formula>LEN(TRIM(A40))&gt;0</formula>
    </cfRule>
  </conditionalFormatting>
  <conditionalFormatting sqref="A41">
    <cfRule type="expression" dxfId="426" priority="534">
      <formula>$A41&lt;&gt;"期間外"</formula>
    </cfRule>
  </conditionalFormatting>
  <conditionalFormatting sqref="A42">
    <cfRule type="notContainsBlanks" dxfId="425" priority="514">
      <formula>LEN(TRIM(A42))&gt;0</formula>
    </cfRule>
  </conditionalFormatting>
  <conditionalFormatting sqref="A43">
    <cfRule type="expression" dxfId="424" priority="533">
      <formula>$A43&lt;&gt;"期間外"</formula>
    </cfRule>
  </conditionalFormatting>
  <conditionalFormatting sqref="A44">
    <cfRule type="notContainsBlanks" dxfId="423" priority="513">
      <formula>LEN(TRIM(A44))&gt;0</formula>
    </cfRule>
  </conditionalFormatting>
  <conditionalFormatting sqref="A45">
    <cfRule type="expression" dxfId="422" priority="532">
      <formula>$A45&lt;&gt;"期間外"</formula>
    </cfRule>
  </conditionalFormatting>
  <conditionalFormatting sqref="A46">
    <cfRule type="notContainsBlanks" dxfId="421" priority="512">
      <formula>LEN(TRIM(A46))&gt;0</formula>
    </cfRule>
  </conditionalFormatting>
  <conditionalFormatting sqref="A47">
    <cfRule type="expression" dxfId="420" priority="531">
      <formula>$A47&lt;&gt;"期間外"</formula>
    </cfRule>
  </conditionalFormatting>
  <conditionalFormatting sqref="A48">
    <cfRule type="notContainsBlanks" dxfId="419" priority="511">
      <formula>LEN(TRIM(A48))&gt;0</formula>
    </cfRule>
  </conditionalFormatting>
  <conditionalFormatting sqref="A49">
    <cfRule type="expression" dxfId="418" priority="73">
      <formula>$A49&lt;&gt;"期間外"</formula>
    </cfRule>
  </conditionalFormatting>
  <conditionalFormatting sqref="A50">
    <cfRule type="notContainsBlanks" dxfId="417" priority="72">
      <formula>LEN(TRIM(A50))&gt;0</formula>
    </cfRule>
  </conditionalFormatting>
  <conditionalFormatting sqref="B7">
    <cfRule type="expression" dxfId="416" priority="556">
      <formula>$B$7="AM"</formula>
    </cfRule>
  </conditionalFormatting>
  <conditionalFormatting sqref="B8">
    <cfRule type="expression" dxfId="415" priority="555">
      <formula>$B$8="PM"</formula>
    </cfRule>
  </conditionalFormatting>
  <conditionalFormatting sqref="B9">
    <cfRule type="expression" dxfId="414" priority="510">
      <formula>$B9="AM"</formula>
    </cfRule>
  </conditionalFormatting>
  <conditionalFormatting sqref="B10">
    <cfRule type="expression" dxfId="413" priority="509">
      <formula>$B10="PM"</formula>
    </cfRule>
  </conditionalFormatting>
  <conditionalFormatting sqref="B11">
    <cfRule type="expression" dxfId="412" priority="508">
      <formula>$B11="AM"</formula>
    </cfRule>
  </conditionalFormatting>
  <conditionalFormatting sqref="B12">
    <cfRule type="expression" dxfId="411" priority="507">
      <formula>$B12="PM"</formula>
    </cfRule>
  </conditionalFormatting>
  <conditionalFormatting sqref="B13">
    <cfRule type="expression" dxfId="410" priority="506">
      <formula>$B13="AM"</formula>
    </cfRule>
  </conditionalFormatting>
  <conditionalFormatting sqref="B14">
    <cfRule type="expression" dxfId="409" priority="505">
      <formula>$B14="PM"</formula>
    </cfRule>
  </conditionalFormatting>
  <conditionalFormatting sqref="B15">
    <cfRule type="expression" dxfId="408" priority="504">
      <formula>$B15="AM"</formula>
    </cfRule>
  </conditionalFormatting>
  <conditionalFormatting sqref="B16">
    <cfRule type="expression" dxfId="407" priority="503">
      <formula>$B16="PM"</formula>
    </cfRule>
  </conditionalFormatting>
  <conditionalFormatting sqref="B17">
    <cfRule type="expression" dxfId="406" priority="502">
      <formula>$B17="AM"</formula>
    </cfRule>
  </conditionalFormatting>
  <conditionalFormatting sqref="B18">
    <cfRule type="expression" dxfId="405" priority="501">
      <formula>$B18="PM"</formula>
    </cfRule>
  </conditionalFormatting>
  <conditionalFormatting sqref="B19">
    <cfRule type="expression" dxfId="404" priority="500">
      <formula>$B19="AM"</formula>
    </cfRule>
  </conditionalFormatting>
  <conditionalFormatting sqref="B20">
    <cfRule type="expression" dxfId="403" priority="499">
      <formula>$B20="PM"</formula>
    </cfRule>
  </conditionalFormatting>
  <conditionalFormatting sqref="B21">
    <cfRule type="expression" dxfId="402" priority="498">
      <formula>$B21="AM"</formula>
    </cfRule>
  </conditionalFormatting>
  <conditionalFormatting sqref="B22">
    <cfRule type="expression" dxfId="401" priority="497">
      <formula>$B22="PM"</formula>
    </cfRule>
  </conditionalFormatting>
  <conditionalFormatting sqref="B23">
    <cfRule type="expression" dxfId="400" priority="496">
      <formula>$B23="AM"</formula>
    </cfRule>
  </conditionalFormatting>
  <conditionalFormatting sqref="B24">
    <cfRule type="expression" dxfId="399" priority="495">
      <formula>$B24="PM"</formula>
    </cfRule>
  </conditionalFormatting>
  <conditionalFormatting sqref="B25">
    <cfRule type="expression" dxfId="398" priority="494">
      <formula>$B25="AM"</formula>
    </cfRule>
  </conditionalFormatting>
  <conditionalFormatting sqref="B26">
    <cfRule type="expression" dxfId="397" priority="493">
      <formula>$B26="PM"</formula>
    </cfRule>
  </conditionalFormatting>
  <conditionalFormatting sqref="B27">
    <cfRule type="expression" dxfId="396" priority="492">
      <formula>$B27="AM"</formula>
    </cfRule>
  </conditionalFormatting>
  <conditionalFormatting sqref="B28">
    <cfRule type="expression" dxfId="395" priority="491">
      <formula>$B28="PM"</formula>
    </cfRule>
  </conditionalFormatting>
  <conditionalFormatting sqref="B29">
    <cfRule type="expression" dxfId="394" priority="490">
      <formula>$B29="AM"</formula>
    </cfRule>
  </conditionalFormatting>
  <conditionalFormatting sqref="B30">
    <cfRule type="expression" dxfId="393" priority="489">
      <formula>$B30="PM"</formula>
    </cfRule>
  </conditionalFormatting>
  <conditionalFormatting sqref="B31">
    <cfRule type="expression" dxfId="392" priority="488">
      <formula>$B31="AM"</formula>
    </cfRule>
  </conditionalFormatting>
  <conditionalFormatting sqref="B32">
    <cfRule type="expression" dxfId="391" priority="487">
      <formula>$B32="PM"</formula>
    </cfRule>
  </conditionalFormatting>
  <conditionalFormatting sqref="B33">
    <cfRule type="expression" dxfId="390" priority="486">
      <formula>$B33="AM"</formula>
    </cfRule>
  </conditionalFormatting>
  <conditionalFormatting sqref="B34">
    <cfRule type="expression" dxfId="389" priority="485">
      <formula>$B34="PM"</formula>
    </cfRule>
  </conditionalFormatting>
  <conditionalFormatting sqref="B35">
    <cfRule type="expression" dxfId="388" priority="484">
      <formula>$B35="AM"</formula>
    </cfRule>
  </conditionalFormatting>
  <conditionalFormatting sqref="B36">
    <cfRule type="expression" dxfId="387" priority="483">
      <formula>$B36="PM"</formula>
    </cfRule>
  </conditionalFormatting>
  <conditionalFormatting sqref="B37">
    <cfRule type="expression" dxfId="386" priority="482">
      <formula>$B37="AM"</formula>
    </cfRule>
  </conditionalFormatting>
  <conditionalFormatting sqref="B38">
    <cfRule type="expression" dxfId="385" priority="481">
      <formula>$B38="PM"</formula>
    </cfRule>
  </conditionalFormatting>
  <conditionalFormatting sqref="B39">
    <cfRule type="expression" dxfId="384" priority="480">
      <formula>$B39="AM"</formula>
    </cfRule>
  </conditionalFormatting>
  <conditionalFormatting sqref="B40">
    <cfRule type="expression" dxfId="383" priority="479">
      <formula>$B40="PM"</formula>
    </cfRule>
  </conditionalFormatting>
  <conditionalFormatting sqref="B41">
    <cfRule type="expression" dxfId="382" priority="478">
      <formula>$B41="AM"</formula>
    </cfRule>
  </conditionalFormatting>
  <conditionalFormatting sqref="B42">
    <cfRule type="expression" dxfId="381" priority="477">
      <formula>$B42="PM"</formula>
    </cfRule>
  </conditionalFormatting>
  <conditionalFormatting sqref="B43">
    <cfRule type="expression" dxfId="380" priority="476">
      <formula>$B43="AM"</formula>
    </cfRule>
  </conditionalFormatting>
  <conditionalFormatting sqref="B44">
    <cfRule type="expression" dxfId="379" priority="475">
      <formula>$B44="PM"</formula>
    </cfRule>
  </conditionalFormatting>
  <conditionalFormatting sqref="B45">
    <cfRule type="expression" dxfId="378" priority="474">
      <formula>$B45="AM"</formula>
    </cfRule>
  </conditionalFormatting>
  <conditionalFormatting sqref="B46">
    <cfRule type="expression" dxfId="377" priority="473">
      <formula>$B46="PM"</formula>
    </cfRule>
  </conditionalFormatting>
  <conditionalFormatting sqref="B47">
    <cfRule type="expression" dxfId="376" priority="472">
      <formula>$B47="AM"</formula>
    </cfRule>
  </conditionalFormatting>
  <conditionalFormatting sqref="B48">
    <cfRule type="expression" dxfId="375" priority="471">
      <formula>$B48="PM"</formula>
    </cfRule>
  </conditionalFormatting>
  <conditionalFormatting sqref="B49">
    <cfRule type="expression" dxfId="374" priority="71">
      <formula>$B49="AM"</formula>
    </cfRule>
  </conditionalFormatting>
  <conditionalFormatting sqref="B50">
    <cfRule type="expression" dxfId="373" priority="70">
      <formula>$B50="PM"</formula>
    </cfRule>
  </conditionalFormatting>
  <conditionalFormatting sqref="C7">
    <cfRule type="expression" dxfId="372" priority="468">
      <formula>AND($A7&lt;&gt;"期間外",$C7&lt;&gt;"")</formula>
    </cfRule>
    <cfRule type="expression" dxfId="371" priority="470">
      <formula>AND($A7&lt;&gt;"期間外",$C7="")</formula>
    </cfRule>
  </conditionalFormatting>
  <conditionalFormatting sqref="C8">
    <cfRule type="expression" dxfId="370" priority="466">
      <formula>AND($A7&lt;&gt;"期間外",$C8&lt;&gt;"")</formula>
    </cfRule>
    <cfRule type="expression" dxfId="369" priority="467">
      <formula>AND($A7&lt;&gt;"期間外",$C8="")</formula>
    </cfRule>
  </conditionalFormatting>
  <conditionalFormatting sqref="C9">
    <cfRule type="expression" dxfId="368" priority="337">
      <formula>AND($A9&lt;&gt;"期間外",$C9="")</formula>
    </cfRule>
    <cfRule type="expression" dxfId="367" priority="336">
      <formula>AND($A9&lt;&gt;"期間外",$C9&lt;&gt;"")</formula>
    </cfRule>
  </conditionalFormatting>
  <conditionalFormatting sqref="C10">
    <cfRule type="expression" dxfId="366" priority="42">
      <formula>AND($A9&lt;&gt;"期間外",$C10="")</formula>
    </cfRule>
    <cfRule type="expression" dxfId="365" priority="41">
      <formula>AND($A9&lt;&gt;"期間外",$C10&lt;&gt;"")</formula>
    </cfRule>
  </conditionalFormatting>
  <conditionalFormatting sqref="C11">
    <cfRule type="expression" dxfId="364" priority="324">
      <formula>AND($A11&lt;&gt;"期間外",$C11="")</formula>
    </cfRule>
    <cfRule type="expression" dxfId="363" priority="323">
      <formula>AND($A11&lt;&gt;"期間外",$C11&lt;&gt;"")</formula>
    </cfRule>
  </conditionalFormatting>
  <conditionalFormatting sqref="C12">
    <cfRule type="expression" dxfId="362" priority="40">
      <formula>AND($A11&lt;&gt;"期間外",$C12="")</formula>
    </cfRule>
    <cfRule type="expression" dxfId="361" priority="39">
      <formula>AND($A11&lt;&gt;"期間外",$C12&lt;&gt;"")</formula>
    </cfRule>
  </conditionalFormatting>
  <conditionalFormatting sqref="C13">
    <cfRule type="expression" dxfId="360" priority="310">
      <formula>AND($A13&lt;&gt;"期間外",$C13&lt;&gt;"")</formula>
    </cfRule>
    <cfRule type="expression" dxfId="359" priority="311">
      <formula>AND($A13&lt;&gt;"期間外",$C13="")</formula>
    </cfRule>
  </conditionalFormatting>
  <conditionalFormatting sqref="C14">
    <cfRule type="expression" dxfId="358" priority="38">
      <formula>AND($A13&lt;&gt;"期間外",$C14="")</formula>
    </cfRule>
    <cfRule type="expression" dxfId="357" priority="37">
      <formula>AND($A13&lt;&gt;"期間外",$C14&lt;&gt;"")</formula>
    </cfRule>
  </conditionalFormatting>
  <conditionalFormatting sqref="C15">
    <cfRule type="expression" dxfId="356" priority="298">
      <formula>AND($A15&lt;&gt;"期間外",$C15="")</formula>
    </cfRule>
    <cfRule type="expression" dxfId="355" priority="297">
      <formula>AND($A15&lt;&gt;"期間外",$C15&lt;&gt;"")</formula>
    </cfRule>
  </conditionalFormatting>
  <conditionalFormatting sqref="C16">
    <cfRule type="expression" dxfId="354" priority="35">
      <formula>AND($A15&lt;&gt;"期間外",$C16&lt;&gt;"")</formula>
    </cfRule>
    <cfRule type="expression" dxfId="353" priority="36">
      <formula>AND($A15&lt;&gt;"期間外",$C16="")</formula>
    </cfRule>
  </conditionalFormatting>
  <conditionalFormatting sqref="C17">
    <cfRule type="expression" dxfId="352" priority="285">
      <formula>AND($A17&lt;&gt;"期間外",$C17="")</formula>
    </cfRule>
    <cfRule type="expression" dxfId="351" priority="284">
      <formula>AND($A17&lt;&gt;"期間外",$C17&lt;&gt;"")</formula>
    </cfRule>
  </conditionalFormatting>
  <conditionalFormatting sqref="C18">
    <cfRule type="expression" dxfId="350" priority="34">
      <formula>AND($A17&lt;&gt;"期間外",$C18="")</formula>
    </cfRule>
    <cfRule type="expression" dxfId="349" priority="33">
      <formula>AND($A17&lt;&gt;"期間外",$C18&lt;&gt;"")</formula>
    </cfRule>
  </conditionalFormatting>
  <conditionalFormatting sqref="C19">
    <cfRule type="expression" dxfId="348" priority="271">
      <formula>AND($A19&lt;&gt;"期間外",$C19&lt;&gt;"")</formula>
    </cfRule>
    <cfRule type="expression" dxfId="347" priority="272">
      <formula>AND($A19&lt;&gt;"期間外",$C19="")</formula>
    </cfRule>
  </conditionalFormatting>
  <conditionalFormatting sqref="C20">
    <cfRule type="expression" dxfId="346" priority="32">
      <formula>AND($A19&lt;&gt;"期間外",$C20="")</formula>
    </cfRule>
    <cfRule type="expression" dxfId="345" priority="31">
      <formula>AND($A19&lt;&gt;"期間外",$C20&lt;&gt;"")</formula>
    </cfRule>
  </conditionalFormatting>
  <conditionalFormatting sqref="C21">
    <cfRule type="expression" dxfId="344" priority="259">
      <formula>AND($A21&lt;&gt;"期間外",$C21="")</formula>
    </cfRule>
    <cfRule type="expression" dxfId="343" priority="258">
      <formula>AND($A21&lt;&gt;"期間外",$C21&lt;&gt;"")</formula>
    </cfRule>
  </conditionalFormatting>
  <conditionalFormatting sqref="C22">
    <cfRule type="expression" dxfId="342" priority="30">
      <formula>AND($A21&lt;&gt;"期間外",$C22="")</formula>
    </cfRule>
    <cfRule type="expression" dxfId="341" priority="29">
      <formula>AND($A21&lt;&gt;"期間外",$C22&lt;&gt;"")</formula>
    </cfRule>
  </conditionalFormatting>
  <conditionalFormatting sqref="C23">
    <cfRule type="expression" dxfId="340" priority="245">
      <formula>AND($A23&lt;&gt;"期間外",$C23&lt;&gt;"")</formula>
    </cfRule>
    <cfRule type="expression" dxfId="339" priority="246">
      <formula>AND($A23&lt;&gt;"期間外",$C23="")</formula>
    </cfRule>
  </conditionalFormatting>
  <conditionalFormatting sqref="C24">
    <cfRule type="expression" dxfId="338" priority="27">
      <formula>AND($A23&lt;&gt;"期間外",$C24&lt;&gt;"")</formula>
    </cfRule>
    <cfRule type="expression" dxfId="337" priority="28">
      <formula>AND($A23&lt;&gt;"期間外",$C24="")</formula>
    </cfRule>
  </conditionalFormatting>
  <conditionalFormatting sqref="C25">
    <cfRule type="expression" dxfId="336" priority="233">
      <formula>AND($A25&lt;&gt;"期間外",$C25="")</formula>
    </cfRule>
    <cfRule type="expression" dxfId="335" priority="232">
      <formula>AND($A25&lt;&gt;"期間外",$C25&lt;&gt;"")</formula>
    </cfRule>
  </conditionalFormatting>
  <conditionalFormatting sqref="C26">
    <cfRule type="expression" dxfId="334" priority="25">
      <formula>AND($A25&lt;&gt;"期間外",$C26&lt;&gt;"")</formula>
    </cfRule>
    <cfRule type="expression" dxfId="333" priority="26">
      <formula>AND($A25&lt;&gt;"期間外",$C26="")</formula>
    </cfRule>
  </conditionalFormatting>
  <conditionalFormatting sqref="C27">
    <cfRule type="expression" dxfId="332" priority="220">
      <formula>AND($A27&lt;&gt;"期間外",$C27="")</formula>
    </cfRule>
    <cfRule type="expression" dxfId="331" priority="219">
      <formula>AND($A27&lt;&gt;"期間外",$C27&lt;&gt;"")</formula>
    </cfRule>
  </conditionalFormatting>
  <conditionalFormatting sqref="C28">
    <cfRule type="expression" dxfId="330" priority="23">
      <formula>AND($A27&lt;&gt;"期間外",$C28&lt;&gt;"")</formula>
    </cfRule>
    <cfRule type="expression" dxfId="329" priority="24">
      <formula>AND($A27&lt;&gt;"期間外",$C28="")</formula>
    </cfRule>
  </conditionalFormatting>
  <conditionalFormatting sqref="C29">
    <cfRule type="expression" dxfId="328" priority="207">
      <formula>AND($A29&lt;&gt;"期間外",$C29="")</formula>
    </cfRule>
    <cfRule type="expression" dxfId="327" priority="206">
      <formula>AND($A29&lt;&gt;"期間外",$C29&lt;&gt;"")</formula>
    </cfRule>
  </conditionalFormatting>
  <conditionalFormatting sqref="C30">
    <cfRule type="expression" dxfId="326" priority="22">
      <formula>AND($A29&lt;&gt;"期間外",$C30="")</formula>
    </cfRule>
    <cfRule type="expression" dxfId="325" priority="21">
      <formula>AND($A29&lt;&gt;"期間外",$C30&lt;&gt;"")</formula>
    </cfRule>
  </conditionalFormatting>
  <conditionalFormatting sqref="C31">
    <cfRule type="expression" dxfId="324" priority="194">
      <formula>AND($A31&lt;&gt;"期間外",$C31="")</formula>
    </cfRule>
    <cfRule type="expression" dxfId="323" priority="193">
      <formula>AND($A31&lt;&gt;"期間外",$C31&lt;&gt;"")</formula>
    </cfRule>
  </conditionalFormatting>
  <conditionalFormatting sqref="C32">
    <cfRule type="expression" dxfId="322" priority="20">
      <formula>AND($A31&lt;&gt;"期間外",$C32="")</formula>
    </cfRule>
    <cfRule type="expression" dxfId="321" priority="19">
      <formula>AND($A31&lt;&gt;"期間外",$C32&lt;&gt;"")</formula>
    </cfRule>
  </conditionalFormatting>
  <conditionalFormatting sqref="C33">
    <cfRule type="expression" dxfId="320" priority="180">
      <formula>AND($A33&lt;&gt;"期間外",$C33&lt;&gt;"")</formula>
    </cfRule>
    <cfRule type="expression" dxfId="319" priority="181">
      <formula>AND($A33&lt;&gt;"期間外",$C33="")</formula>
    </cfRule>
  </conditionalFormatting>
  <conditionalFormatting sqref="C34">
    <cfRule type="expression" dxfId="318" priority="17">
      <formula>AND($A33&lt;&gt;"期間外",$C34&lt;&gt;"")</formula>
    </cfRule>
    <cfRule type="expression" dxfId="317" priority="18">
      <formula>AND($A33&lt;&gt;"期間外",$C34="")</formula>
    </cfRule>
  </conditionalFormatting>
  <conditionalFormatting sqref="C35">
    <cfRule type="expression" dxfId="316" priority="168">
      <formula>AND($A35&lt;&gt;"期間外",$C35="")</formula>
    </cfRule>
    <cfRule type="expression" dxfId="315" priority="167">
      <formula>AND($A35&lt;&gt;"期間外",$C35&lt;&gt;"")</formula>
    </cfRule>
  </conditionalFormatting>
  <conditionalFormatting sqref="C36">
    <cfRule type="expression" dxfId="314" priority="16">
      <formula>AND($A35&lt;&gt;"期間外",$C36="")</formula>
    </cfRule>
    <cfRule type="expression" dxfId="313" priority="15">
      <formula>AND($A35&lt;&gt;"期間外",$C36&lt;&gt;"")</formula>
    </cfRule>
  </conditionalFormatting>
  <conditionalFormatting sqref="C37">
    <cfRule type="expression" dxfId="312" priority="155">
      <formula>AND($A37&lt;&gt;"期間外",$C37="")</formula>
    </cfRule>
    <cfRule type="expression" dxfId="311" priority="154">
      <formula>AND($A37&lt;&gt;"期間外",$C37&lt;&gt;"")</formula>
    </cfRule>
  </conditionalFormatting>
  <conditionalFormatting sqref="C38">
    <cfRule type="expression" dxfId="310" priority="13">
      <formula>AND($A37&lt;&gt;"期間外",$C38&lt;&gt;"")</formula>
    </cfRule>
    <cfRule type="expression" dxfId="309" priority="14">
      <formula>AND($A37&lt;&gt;"期間外",$C38="")</formula>
    </cfRule>
  </conditionalFormatting>
  <conditionalFormatting sqref="C39">
    <cfRule type="expression" dxfId="308" priority="141">
      <formula>AND($A39&lt;&gt;"期間外",$C39&lt;&gt;"")</formula>
    </cfRule>
    <cfRule type="expression" dxfId="307" priority="142">
      <formula>AND($A39&lt;&gt;"期間外",$C39="")</formula>
    </cfRule>
  </conditionalFormatting>
  <conditionalFormatting sqref="C40">
    <cfRule type="expression" dxfId="306" priority="12">
      <formula>AND($A39&lt;&gt;"期間外",$C40="")</formula>
    </cfRule>
    <cfRule type="expression" dxfId="305" priority="11">
      <formula>AND($A39&lt;&gt;"期間外",$C40&lt;&gt;"")</formula>
    </cfRule>
  </conditionalFormatting>
  <conditionalFormatting sqref="C41">
    <cfRule type="expression" dxfId="304" priority="129">
      <formula>AND($A41&lt;&gt;"期間外",$C41="")</formula>
    </cfRule>
    <cfRule type="expression" dxfId="303" priority="128">
      <formula>AND($A41&lt;&gt;"期間外",$C41&lt;&gt;"")</formula>
    </cfRule>
  </conditionalFormatting>
  <conditionalFormatting sqref="C42">
    <cfRule type="expression" dxfId="302" priority="10">
      <formula>AND($A41&lt;&gt;"期間外",$C42="")</formula>
    </cfRule>
    <cfRule type="expression" dxfId="301" priority="9">
      <formula>AND($A41&lt;&gt;"期間外",$C42&lt;&gt;"")</formula>
    </cfRule>
  </conditionalFormatting>
  <conditionalFormatting sqref="C43">
    <cfRule type="expression" dxfId="300" priority="115">
      <formula>AND($A43&lt;&gt;"期間外",$C43&lt;&gt;"")</formula>
    </cfRule>
    <cfRule type="expression" dxfId="299" priority="116">
      <formula>AND($A43&lt;&gt;"期間外",$C43="")</formula>
    </cfRule>
  </conditionalFormatting>
  <conditionalFormatting sqref="C44">
    <cfRule type="expression" dxfId="298" priority="8">
      <formula>AND($A43&lt;&gt;"期間外",$C44="")</formula>
    </cfRule>
    <cfRule type="expression" dxfId="297" priority="7">
      <formula>AND($A43&lt;&gt;"期間外",$C44&lt;&gt;"")</formula>
    </cfRule>
  </conditionalFormatting>
  <conditionalFormatting sqref="C45">
    <cfRule type="expression" dxfId="296" priority="102">
      <formula>AND($A45&lt;&gt;"期間外",$C45&lt;&gt;"")</formula>
    </cfRule>
    <cfRule type="expression" dxfId="295" priority="103">
      <formula>AND($A45&lt;&gt;"期間外",$C45="")</formula>
    </cfRule>
  </conditionalFormatting>
  <conditionalFormatting sqref="C46">
    <cfRule type="expression" dxfId="294" priority="5">
      <formula>AND($A45&lt;&gt;"期間外",$C46&lt;&gt;"")</formula>
    </cfRule>
    <cfRule type="expression" dxfId="293" priority="6">
      <formula>AND($A45&lt;&gt;"期間外",$C46="")</formula>
    </cfRule>
  </conditionalFormatting>
  <conditionalFormatting sqref="C47">
    <cfRule type="expression" dxfId="292" priority="89">
      <formula>AND($A47&lt;&gt;"期間外",$C47&lt;&gt;"")</formula>
    </cfRule>
    <cfRule type="expression" dxfId="291" priority="90">
      <formula>AND($A47&lt;&gt;"期間外",$C47="")</formula>
    </cfRule>
  </conditionalFormatting>
  <conditionalFormatting sqref="C48">
    <cfRule type="expression" dxfId="290" priority="4">
      <formula>AND($A47&lt;&gt;"期間外",$C48="")</formula>
    </cfRule>
    <cfRule type="expression" dxfId="289" priority="3">
      <formula>AND($A47&lt;&gt;"期間外",$C48&lt;&gt;"")</formula>
    </cfRule>
  </conditionalFormatting>
  <conditionalFormatting sqref="C49">
    <cfRule type="expression" dxfId="288" priority="67">
      <formula>AND($A49&lt;&gt;"期間外",$C49&lt;&gt;"")</formula>
    </cfRule>
    <cfRule type="expression" dxfId="287" priority="68">
      <formula>AND($A49&lt;&gt;"期間外",$C49="")</formula>
    </cfRule>
  </conditionalFormatting>
  <conditionalFormatting sqref="C50">
    <cfRule type="expression" dxfId="286" priority="1">
      <formula>AND($A49&lt;&gt;"期間外",$C50&lt;&gt;"")</formula>
    </cfRule>
    <cfRule type="expression" dxfId="285" priority="2">
      <formula>AND($A49&lt;&gt;"期間外",$C50="")</formula>
    </cfRule>
  </conditionalFormatting>
  <conditionalFormatting sqref="D7">
    <cfRule type="expression" dxfId="284" priority="383">
      <formula>AND($A7&lt;&gt;"期間外",$D7="")</formula>
    </cfRule>
    <cfRule type="expression" dxfId="283" priority="385">
      <formula>AND($A7&lt;&gt;"期間外",$D7&lt;&gt;"")</formula>
    </cfRule>
  </conditionalFormatting>
  <conditionalFormatting sqref="D8">
    <cfRule type="expression" dxfId="282" priority="377">
      <formula>AND($A7&lt;&gt;"期間外",$D8="")</formula>
    </cfRule>
    <cfRule type="expression" dxfId="281" priority="378">
      <formula>AND($A7&lt;&gt;"期間外",$D8&lt;&gt;"")</formula>
    </cfRule>
  </conditionalFormatting>
  <conditionalFormatting sqref="D9">
    <cfRule type="expression" dxfId="280" priority="332">
      <formula>AND($A9&lt;&gt;"期間外",$D9="")</formula>
    </cfRule>
    <cfRule type="expression" dxfId="279" priority="333">
      <formula>AND($A9&lt;&gt;"期間外",$D9&lt;&gt;"")</formula>
    </cfRule>
  </conditionalFormatting>
  <conditionalFormatting sqref="D10">
    <cfRule type="expression" dxfId="278" priority="330">
      <formula>AND($A9&lt;&gt;"期間外",$D10="")</formula>
    </cfRule>
    <cfRule type="expression" dxfId="277" priority="331">
      <formula>AND($A9&lt;&gt;"期間外",$D10&lt;&gt;"")</formula>
    </cfRule>
  </conditionalFormatting>
  <conditionalFormatting sqref="D11">
    <cfRule type="expression" dxfId="276" priority="319">
      <formula>AND($A11&lt;&gt;"期間外",$D11="")</formula>
    </cfRule>
    <cfRule type="expression" dxfId="275" priority="320">
      <formula>AND($A11&lt;&gt;"期間外",$D11&lt;&gt;"")</formula>
    </cfRule>
  </conditionalFormatting>
  <conditionalFormatting sqref="D12">
    <cfRule type="expression" dxfId="274" priority="318">
      <formula>AND($A11&lt;&gt;"期間外",$D12&lt;&gt;"")</formula>
    </cfRule>
    <cfRule type="expression" dxfId="273" priority="317">
      <formula>AND($A11&lt;&gt;"期間外",$D12="")</formula>
    </cfRule>
  </conditionalFormatting>
  <conditionalFormatting sqref="D13">
    <cfRule type="expression" dxfId="272" priority="307">
      <formula>AND($A13&lt;&gt;"期間外",$D13&lt;&gt;"")</formula>
    </cfRule>
    <cfRule type="expression" dxfId="271" priority="306">
      <formula>AND($A13&lt;&gt;"期間外",$D13="")</formula>
    </cfRule>
  </conditionalFormatting>
  <conditionalFormatting sqref="D14">
    <cfRule type="expression" dxfId="270" priority="305">
      <formula>AND($A13&lt;&gt;"期間外",$D14&lt;&gt;"")</formula>
    </cfRule>
    <cfRule type="expression" dxfId="269" priority="304">
      <formula>AND($A13&lt;&gt;"期間外",$D14="")</formula>
    </cfRule>
  </conditionalFormatting>
  <conditionalFormatting sqref="D15">
    <cfRule type="expression" dxfId="268" priority="294">
      <formula>AND($A15&lt;&gt;"期間外",$D15&lt;&gt;"")</formula>
    </cfRule>
    <cfRule type="expression" dxfId="267" priority="293">
      <formula>AND($A15&lt;&gt;"期間外",$D15="")</formula>
    </cfRule>
  </conditionalFormatting>
  <conditionalFormatting sqref="D16">
    <cfRule type="expression" dxfId="266" priority="291">
      <formula>AND($A15&lt;&gt;"期間外",$D16="")</formula>
    </cfRule>
    <cfRule type="expression" dxfId="265" priority="292">
      <formula>AND($A15&lt;&gt;"期間外",$D16&lt;&gt;"")</formula>
    </cfRule>
  </conditionalFormatting>
  <conditionalFormatting sqref="D17">
    <cfRule type="expression" dxfId="264" priority="280">
      <formula>AND($A17&lt;&gt;"期間外",$D17="")</formula>
    </cfRule>
    <cfRule type="expression" dxfId="263" priority="281">
      <formula>AND($A17&lt;&gt;"期間外",$D17&lt;&gt;"")</formula>
    </cfRule>
  </conditionalFormatting>
  <conditionalFormatting sqref="D18">
    <cfRule type="expression" dxfId="262" priority="278">
      <formula>AND($A17&lt;&gt;"期間外",$D18="")</formula>
    </cfRule>
    <cfRule type="expression" dxfId="261" priority="279">
      <formula>AND($A17&lt;&gt;"期間外",$D18&lt;&gt;"")</formula>
    </cfRule>
  </conditionalFormatting>
  <conditionalFormatting sqref="D19">
    <cfRule type="expression" dxfId="260" priority="267">
      <formula>AND($A19&lt;&gt;"期間外",$D19="")</formula>
    </cfRule>
    <cfRule type="expression" dxfId="259" priority="268">
      <formula>AND($A19&lt;&gt;"期間外",$D19&lt;&gt;"")</formula>
    </cfRule>
  </conditionalFormatting>
  <conditionalFormatting sqref="D20">
    <cfRule type="expression" dxfId="258" priority="266">
      <formula>AND($A19&lt;&gt;"期間外",$D20&lt;&gt;"")</formula>
    </cfRule>
    <cfRule type="expression" dxfId="257" priority="265">
      <formula>AND($A19&lt;&gt;"期間外",$D20="")</formula>
    </cfRule>
  </conditionalFormatting>
  <conditionalFormatting sqref="D21">
    <cfRule type="expression" dxfId="256" priority="254">
      <formula>AND($A21&lt;&gt;"期間外",$D21="")</formula>
    </cfRule>
    <cfRule type="expression" dxfId="255" priority="255">
      <formula>AND($A21&lt;&gt;"期間外",$D21&lt;&gt;"")</formula>
    </cfRule>
  </conditionalFormatting>
  <conditionalFormatting sqref="D22">
    <cfRule type="expression" dxfId="254" priority="252">
      <formula>AND($A21&lt;&gt;"期間外",$D22="")</formula>
    </cfRule>
    <cfRule type="expression" dxfId="253" priority="253">
      <formula>AND($A21&lt;&gt;"期間外",$D22&lt;&gt;"")</formula>
    </cfRule>
  </conditionalFormatting>
  <conditionalFormatting sqref="D23">
    <cfRule type="expression" dxfId="252" priority="241">
      <formula>AND($A23&lt;&gt;"期間外",$D23="")</formula>
    </cfRule>
    <cfRule type="expression" dxfId="251" priority="242">
      <formula>AND($A23&lt;&gt;"期間外",$D23&lt;&gt;"")</formula>
    </cfRule>
  </conditionalFormatting>
  <conditionalFormatting sqref="D24">
    <cfRule type="expression" dxfId="250" priority="239">
      <formula>AND($A23&lt;&gt;"期間外",$D24="")</formula>
    </cfRule>
    <cfRule type="expression" dxfId="249" priority="240">
      <formula>AND($A23&lt;&gt;"期間外",$D24&lt;&gt;"")</formula>
    </cfRule>
  </conditionalFormatting>
  <conditionalFormatting sqref="D25">
    <cfRule type="expression" dxfId="248" priority="228">
      <formula>AND($A25&lt;&gt;"期間外",$D25="")</formula>
    </cfRule>
    <cfRule type="expression" dxfId="247" priority="229">
      <formula>AND($A25&lt;&gt;"期間外",$D25&lt;&gt;"")</formula>
    </cfRule>
  </conditionalFormatting>
  <conditionalFormatting sqref="D26">
    <cfRule type="expression" dxfId="246" priority="227">
      <formula>AND($A25&lt;&gt;"期間外",$D26&lt;&gt;"")</formula>
    </cfRule>
    <cfRule type="expression" dxfId="245" priority="226">
      <formula>AND($A25&lt;&gt;"期間外",$D26="")</formula>
    </cfRule>
  </conditionalFormatting>
  <conditionalFormatting sqref="D27">
    <cfRule type="expression" dxfId="244" priority="215">
      <formula>AND($A27&lt;&gt;"期間外",$D27="")</formula>
    </cfRule>
    <cfRule type="expression" dxfId="243" priority="216">
      <formula>AND($A27&lt;&gt;"期間外",$D27&lt;&gt;"")</formula>
    </cfRule>
  </conditionalFormatting>
  <conditionalFormatting sqref="D28">
    <cfRule type="expression" dxfId="242" priority="214">
      <formula>AND($A27&lt;&gt;"期間外",$D28&lt;&gt;"")</formula>
    </cfRule>
    <cfRule type="expression" dxfId="241" priority="213">
      <formula>AND($A27&lt;&gt;"期間外",$D28="")</formula>
    </cfRule>
  </conditionalFormatting>
  <conditionalFormatting sqref="D29">
    <cfRule type="expression" dxfId="240" priority="202">
      <formula>AND($A29&lt;&gt;"期間外",$D29="")</formula>
    </cfRule>
    <cfRule type="expression" dxfId="239" priority="203">
      <formula>AND($A29&lt;&gt;"期間外",$D29&lt;&gt;"")</formula>
    </cfRule>
  </conditionalFormatting>
  <conditionalFormatting sqref="D30">
    <cfRule type="expression" dxfId="238" priority="200">
      <formula>AND($A29&lt;&gt;"期間外",$D30="")</formula>
    </cfRule>
    <cfRule type="expression" dxfId="237" priority="201">
      <formula>AND($A29&lt;&gt;"期間外",$D30&lt;&gt;"")</formula>
    </cfRule>
  </conditionalFormatting>
  <conditionalFormatting sqref="D31">
    <cfRule type="expression" dxfId="236" priority="189">
      <formula>AND($A31&lt;&gt;"期間外",$D31="")</formula>
    </cfRule>
    <cfRule type="expression" dxfId="235" priority="190">
      <formula>AND($A31&lt;&gt;"期間外",$D31&lt;&gt;"")</formula>
    </cfRule>
  </conditionalFormatting>
  <conditionalFormatting sqref="D32">
    <cfRule type="expression" dxfId="234" priority="187">
      <formula>AND($A31&lt;&gt;"期間外",$D32="")</formula>
    </cfRule>
    <cfRule type="expression" dxfId="233" priority="188">
      <formula>AND($A31&lt;&gt;"期間外",$D32&lt;&gt;"")</formula>
    </cfRule>
  </conditionalFormatting>
  <conditionalFormatting sqref="D33">
    <cfRule type="expression" dxfId="232" priority="177">
      <formula>AND($A33&lt;&gt;"期間外",$D33&lt;&gt;"")</formula>
    </cfRule>
    <cfRule type="expression" dxfId="231" priority="176">
      <formula>AND($A33&lt;&gt;"期間外",$D33="")</formula>
    </cfRule>
  </conditionalFormatting>
  <conditionalFormatting sqref="D34">
    <cfRule type="expression" dxfId="230" priority="174">
      <formula>AND($A33&lt;&gt;"期間外",$D34="")</formula>
    </cfRule>
    <cfRule type="expression" dxfId="229" priority="175">
      <formula>AND($A33&lt;&gt;"期間外",$D34&lt;&gt;"")</formula>
    </cfRule>
  </conditionalFormatting>
  <conditionalFormatting sqref="D35">
    <cfRule type="expression" dxfId="228" priority="163">
      <formula>AND($A35&lt;&gt;"期間外",$D35="")</formula>
    </cfRule>
    <cfRule type="expression" dxfId="227" priority="164">
      <formula>AND($A35&lt;&gt;"期間外",$D35&lt;&gt;"")</formula>
    </cfRule>
  </conditionalFormatting>
  <conditionalFormatting sqref="D36">
    <cfRule type="expression" dxfId="226" priority="161">
      <formula>AND($A35&lt;&gt;"期間外",$D36="")</formula>
    </cfRule>
    <cfRule type="expression" dxfId="225" priority="162">
      <formula>AND($A35&lt;&gt;"期間外",$D36&lt;&gt;"")</formula>
    </cfRule>
  </conditionalFormatting>
  <conditionalFormatting sqref="D37">
    <cfRule type="expression" dxfId="224" priority="150">
      <formula>AND($A37&lt;&gt;"期間外",$D37="")</formula>
    </cfRule>
    <cfRule type="expression" dxfId="223" priority="151">
      <formula>AND($A37&lt;&gt;"期間外",$D37&lt;&gt;"")</formula>
    </cfRule>
  </conditionalFormatting>
  <conditionalFormatting sqref="D38">
    <cfRule type="expression" dxfId="222" priority="149">
      <formula>AND($A37&lt;&gt;"期間外",$D38&lt;&gt;"")</formula>
    </cfRule>
    <cfRule type="expression" dxfId="221" priority="148">
      <formula>AND($A37&lt;&gt;"期間外",$D38="")</formula>
    </cfRule>
  </conditionalFormatting>
  <conditionalFormatting sqref="D39">
    <cfRule type="expression" dxfId="220" priority="137">
      <formula>AND($A39&lt;&gt;"期間外",$D39="")</formula>
    </cfRule>
    <cfRule type="expression" dxfId="219" priority="138">
      <formula>AND($A39&lt;&gt;"期間外",$D39&lt;&gt;"")</formula>
    </cfRule>
  </conditionalFormatting>
  <conditionalFormatting sqref="D40">
    <cfRule type="expression" dxfId="218" priority="136">
      <formula>AND($A39&lt;&gt;"期間外",$D40&lt;&gt;"")</formula>
    </cfRule>
    <cfRule type="expression" dxfId="217" priority="135">
      <formula>AND($A39&lt;&gt;"期間外",$D40="")</formula>
    </cfRule>
  </conditionalFormatting>
  <conditionalFormatting sqref="D41">
    <cfRule type="expression" dxfId="216" priority="124">
      <formula>AND($A41&lt;&gt;"期間外",$D41="")</formula>
    </cfRule>
    <cfRule type="expression" dxfId="215" priority="125">
      <formula>AND($A41&lt;&gt;"期間外",$D41&lt;&gt;"")</formula>
    </cfRule>
  </conditionalFormatting>
  <conditionalFormatting sqref="D42">
    <cfRule type="expression" dxfId="214" priority="122">
      <formula>AND($A41&lt;&gt;"期間外",$D42="")</formula>
    </cfRule>
    <cfRule type="expression" dxfId="213" priority="123">
      <formula>AND($A41&lt;&gt;"期間外",$D42&lt;&gt;"")</formula>
    </cfRule>
  </conditionalFormatting>
  <conditionalFormatting sqref="D43">
    <cfRule type="expression" dxfId="212" priority="111">
      <formula>AND($A43&lt;&gt;"期間外",$D43="")</formula>
    </cfRule>
    <cfRule type="expression" dxfId="211" priority="112">
      <formula>AND($A43&lt;&gt;"期間外",$D43&lt;&gt;"")</formula>
    </cfRule>
  </conditionalFormatting>
  <conditionalFormatting sqref="D44">
    <cfRule type="expression" dxfId="210" priority="109">
      <formula>AND($A43&lt;&gt;"期間外",$D44="")</formula>
    </cfRule>
    <cfRule type="expression" dxfId="209" priority="110">
      <formula>AND($A43&lt;&gt;"期間外",$D44&lt;&gt;"")</formula>
    </cfRule>
  </conditionalFormatting>
  <conditionalFormatting sqref="D45">
    <cfRule type="expression" dxfId="208" priority="99">
      <formula>AND($A45&lt;&gt;"期間外",$D45&lt;&gt;"")</formula>
    </cfRule>
    <cfRule type="expression" dxfId="207" priority="98">
      <formula>AND($A45&lt;&gt;"期間外",$D45="")</formula>
    </cfRule>
  </conditionalFormatting>
  <conditionalFormatting sqref="D46">
    <cfRule type="expression" dxfId="206" priority="96">
      <formula>AND($A45&lt;&gt;"期間外",$D46="")</formula>
    </cfRule>
    <cfRule type="expression" dxfId="205" priority="97">
      <formula>AND($A45&lt;&gt;"期間外",$D46&lt;&gt;"")</formula>
    </cfRule>
  </conditionalFormatting>
  <conditionalFormatting sqref="D47">
    <cfRule type="expression" dxfId="204" priority="86">
      <formula>AND($A47&lt;&gt;"期間外",$D47&lt;&gt;"")</formula>
    </cfRule>
    <cfRule type="expression" dxfId="203" priority="85">
      <formula>AND($A47&lt;&gt;"期間外",$D47="")</formula>
    </cfRule>
  </conditionalFormatting>
  <conditionalFormatting sqref="D48">
    <cfRule type="expression" dxfId="202" priority="83">
      <formula>AND($A47&lt;&gt;"期間外",$D48="")</formula>
    </cfRule>
    <cfRule type="expression" dxfId="201" priority="84">
      <formula>AND($A47&lt;&gt;"期間外",$D48&lt;&gt;"")</formula>
    </cfRule>
  </conditionalFormatting>
  <conditionalFormatting sqref="D49">
    <cfRule type="expression" dxfId="200" priority="63">
      <formula>AND($A49&lt;&gt;"期間外",$D49="")</formula>
    </cfRule>
    <cfRule type="expression" dxfId="199" priority="64">
      <formula>AND($A49&lt;&gt;"期間外",$D49&lt;&gt;"")</formula>
    </cfRule>
  </conditionalFormatting>
  <conditionalFormatting sqref="D50">
    <cfRule type="expression" dxfId="198" priority="62">
      <formula>AND($A49&lt;&gt;"期間外",$D50&lt;&gt;"")</formula>
    </cfRule>
    <cfRule type="expression" dxfId="197" priority="61">
      <formula>AND($A49&lt;&gt;"期間外",$D50="")</formula>
    </cfRule>
  </conditionalFormatting>
  <conditionalFormatting sqref="E7:E50">
    <cfRule type="expression" dxfId="196" priority="95">
      <formula>AND($A7&lt;&gt;"期間外",$E7="")</formula>
    </cfRule>
    <cfRule type="expression" dxfId="195" priority="94">
      <formula>AND($A7&lt;&gt;"期間外",$E7&lt;&gt;"")</formula>
    </cfRule>
  </conditionalFormatting>
  <conditionalFormatting sqref="F7:F50">
    <cfRule type="expression" dxfId="193" priority="58">
      <formula>AND($A7&lt;&gt;"期間外",$F7="")</formula>
    </cfRule>
    <cfRule type="expression" dxfId="192" priority="57">
      <formula>AND($A7&lt;&gt;"期間外",$F7&lt;&gt;"")</formula>
    </cfRule>
  </conditionalFormatting>
  <dataValidations count="1">
    <dataValidation imeMode="off" allowBlank="1" showInputMessage="1" showErrorMessage="1" sqref="E3:F3" xr:uid="{511095E0-19B4-44DE-B1C4-03D144274CB5}"/>
  </dataValidations>
  <printOptions horizontalCentered="1"/>
  <pageMargins left="0.59055118110236227" right="0.59055118110236227" top="0.59055118110236227" bottom="0.39370078740157483" header="0.19685039370078741" footer="0.19685039370078741"/>
  <pageSetup paperSize="9" scale="77" fitToHeight="0" orientation="portrait" r:id="rId1"/>
  <headerFooter>
    <oddHeader>&amp;C&amp;9&amp;F</oddHeader>
    <oddFooter>&amp;C&amp;P/&amp;N</oddFooter>
  </headerFooter>
  <rowBreaks count="1" manualBreakCount="1">
    <brk id="28" max="5" man="1"/>
  </rowBreaks>
  <ignoredErrors>
    <ignoredError sqref="B8:B9 B26:B48 B20:B25 B17 B14 B11 B10 B12:B13 B15:B16 B18:B19" formula="1"/>
  </ignoredErrors>
  <drawing r:id="rId2"/>
  <extLst>
    <ext xmlns:x14="http://schemas.microsoft.com/office/spreadsheetml/2009/9/main" uri="{78C0D931-6437-407d-A8EE-F0AAD7539E65}">
      <x14:conditionalFormattings>
        <x14:conditionalFormatting xmlns:xm="http://schemas.microsoft.com/office/excel/2006/main">
          <x14:cfRule type="expression" priority="91" id="{2B91E81B-D528-451D-B0AA-7554478C9EFB}">
            <xm:f>$A10='1)受入れ機関概要'!$F$8</xm:f>
            <x14:dxf>
              <fill>
                <patternFill>
                  <bgColor theme="6" tint="0.79998168889431442"/>
                </patternFill>
              </fill>
            </x14:dxf>
          </x14:cfRule>
          <xm:sqref>E9:E50</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4064A-A502-4237-88D5-C6E513341D71}">
  <sheetPr codeName="Sheet6">
    <pageSetUpPr fitToPage="1"/>
  </sheetPr>
  <dimension ref="A1:M92"/>
  <sheetViews>
    <sheetView showGridLines="0" showZeros="0" view="pageBreakPreview" zoomScaleNormal="100" zoomScaleSheetLayoutView="100" workbookViewId="0"/>
  </sheetViews>
  <sheetFormatPr defaultColWidth="0" defaultRowHeight="15.75"/>
  <cols>
    <col min="1" max="1" width="3.77734375" customWidth="1"/>
    <col min="2" max="3" width="4.77734375" customWidth="1"/>
    <col min="4" max="4" width="21.77734375" customWidth="1"/>
    <col min="5" max="5" width="24.77734375" customWidth="1"/>
    <col min="6" max="6" width="9.77734375" customWidth="1"/>
    <col min="7" max="7" width="5.77734375" customWidth="1"/>
    <col min="8" max="8" width="6.77734375" customWidth="1"/>
    <col min="9" max="9" width="11.77734375" customWidth="1"/>
    <col min="10" max="10" width="0.33203125" customWidth="1"/>
    <col min="11" max="11" width="43.77734375" customWidth="1"/>
    <col min="12" max="12" width="2" customWidth="1"/>
    <col min="13" max="13" width="26.21875" style="331" customWidth="1"/>
    <col min="14" max="16384" width="9.109375" hidden="1"/>
  </cols>
  <sheetData>
    <row r="1" spans="1:11">
      <c r="A1" s="39"/>
      <c r="K1" s="33" t="str">
        <f>'1)受入れ機関概要'!G1</f>
        <v>Ver.2501</v>
      </c>
    </row>
    <row r="2" spans="1:11" ht="18" customHeight="1">
      <c r="A2" s="891" t="s">
        <v>161</v>
      </c>
      <c r="B2" s="891"/>
      <c r="C2" s="891"/>
      <c r="D2" s="891"/>
      <c r="E2" s="891"/>
      <c r="F2" s="891"/>
      <c r="G2" s="891"/>
      <c r="H2" s="891"/>
      <c r="I2" s="891"/>
      <c r="J2" s="891"/>
      <c r="K2" s="891"/>
    </row>
    <row r="3" spans="1:11" ht="9" customHeight="1">
      <c r="A3" s="98"/>
      <c r="B3" s="98"/>
      <c r="C3" s="98"/>
      <c r="D3" s="98"/>
      <c r="E3" s="98"/>
      <c r="F3" s="98"/>
      <c r="G3" s="98"/>
      <c r="H3" s="98"/>
      <c r="I3" s="98"/>
      <c r="J3" s="98"/>
      <c r="K3" s="98"/>
    </row>
    <row r="4" spans="1:11" ht="15" customHeight="1">
      <c r="A4" s="2" t="s">
        <v>182</v>
      </c>
      <c r="B4" s="98"/>
      <c r="C4" s="98"/>
      <c r="D4" s="98"/>
      <c r="E4" s="98"/>
      <c r="F4" s="98"/>
      <c r="G4" s="98"/>
      <c r="H4" s="98"/>
      <c r="I4" s="98"/>
      <c r="J4" s="98"/>
      <c r="K4" s="98"/>
    </row>
    <row r="5" spans="1:11" ht="20.45" customHeight="1">
      <c r="A5" s="897" t="s">
        <v>536</v>
      </c>
      <c r="B5" s="898"/>
      <c r="C5" s="898"/>
      <c r="D5" s="899"/>
      <c r="E5" s="874"/>
      <c r="F5" s="875"/>
      <c r="G5" s="875"/>
      <c r="H5" s="875"/>
      <c r="I5" s="875"/>
      <c r="J5" s="875"/>
      <c r="K5" s="876"/>
    </row>
    <row r="6" spans="1:11" ht="20.45" customHeight="1">
      <c r="A6" s="903" t="s">
        <v>531</v>
      </c>
      <c r="B6" s="901"/>
      <c r="C6" s="901"/>
      <c r="D6" s="902"/>
      <c r="E6" s="870"/>
      <c r="F6" s="735"/>
      <c r="G6" s="735"/>
      <c r="H6" s="735"/>
      <c r="I6" s="735"/>
      <c r="J6" s="735"/>
      <c r="K6" s="736"/>
    </row>
    <row r="7" spans="1:11" ht="20.45" customHeight="1">
      <c r="A7" s="894" t="s">
        <v>238</v>
      </c>
      <c r="B7" s="895"/>
      <c r="C7" s="895"/>
      <c r="D7" s="896"/>
      <c r="E7" s="870"/>
      <c r="F7" s="735"/>
      <c r="G7" s="735"/>
      <c r="H7" s="735"/>
      <c r="I7" s="735"/>
      <c r="J7" s="735"/>
      <c r="K7" s="736"/>
    </row>
    <row r="8" spans="1:11" ht="20.45" customHeight="1">
      <c r="A8" s="900" t="s">
        <v>532</v>
      </c>
      <c r="B8" s="901"/>
      <c r="C8" s="901"/>
      <c r="D8" s="902"/>
      <c r="E8" s="870"/>
      <c r="F8" s="735"/>
      <c r="G8" s="735"/>
      <c r="H8" s="735"/>
      <c r="I8" s="735"/>
      <c r="J8" s="735"/>
      <c r="K8" s="736"/>
    </row>
    <row r="9" spans="1:11" ht="20.45" customHeight="1">
      <c r="A9" s="904" t="s">
        <v>239</v>
      </c>
      <c r="B9" s="905"/>
      <c r="C9" s="905"/>
      <c r="D9" s="906"/>
      <c r="E9" s="870"/>
      <c r="F9" s="735"/>
      <c r="G9" s="735"/>
      <c r="H9" s="735"/>
      <c r="I9" s="735"/>
      <c r="J9" s="735"/>
      <c r="K9" s="736"/>
    </row>
    <row r="10" spans="1:11" ht="20.45" customHeight="1">
      <c r="A10" s="907"/>
      <c r="B10" s="908"/>
      <c r="C10" s="908"/>
      <c r="D10" s="909"/>
      <c r="E10" s="871"/>
      <c r="F10" s="872"/>
      <c r="G10" s="872"/>
      <c r="H10" s="872"/>
      <c r="I10" s="872"/>
      <c r="J10" s="872"/>
      <c r="K10" s="873"/>
    </row>
    <row r="11" spans="1:11" ht="9" customHeight="1">
      <c r="A11" s="99"/>
      <c r="B11" s="99"/>
      <c r="C11" s="99"/>
      <c r="D11" s="99"/>
      <c r="E11" s="99"/>
      <c r="F11" s="99"/>
      <c r="G11" s="99"/>
      <c r="H11" s="99"/>
      <c r="I11" s="99"/>
      <c r="J11" s="99"/>
      <c r="K11" s="99"/>
    </row>
    <row r="12" spans="1:11" ht="15" customHeight="1">
      <c r="A12" s="100" t="s">
        <v>66</v>
      </c>
    </row>
    <row r="13" spans="1:11" ht="11.25" customHeight="1">
      <c r="A13" s="3"/>
      <c r="B13" s="879" t="s">
        <v>65</v>
      </c>
      <c r="C13" s="879"/>
      <c r="D13" s="151" t="s">
        <v>565</v>
      </c>
      <c r="E13" s="892" t="s">
        <v>100</v>
      </c>
      <c r="F13" s="892"/>
      <c r="G13" s="892"/>
      <c r="H13" s="892"/>
      <c r="I13" s="892"/>
      <c r="J13" s="892"/>
      <c r="K13" s="892"/>
    </row>
    <row r="14" spans="1:11" ht="11.25" customHeight="1">
      <c r="A14" s="3"/>
      <c r="B14" s="879"/>
      <c r="C14" s="879"/>
      <c r="D14" s="151" t="s">
        <v>566</v>
      </c>
      <c r="E14" s="892" t="s">
        <v>563</v>
      </c>
      <c r="F14" s="892"/>
      <c r="G14" s="892"/>
      <c r="H14" s="892"/>
      <c r="I14" s="892"/>
      <c r="J14" s="892"/>
      <c r="K14" s="892"/>
    </row>
    <row r="15" spans="1:11" ht="24.75" customHeight="1">
      <c r="B15" s="880"/>
      <c r="C15" s="880"/>
      <c r="D15" s="151" t="s">
        <v>567</v>
      </c>
      <c r="E15" s="893" t="s">
        <v>564</v>
      </c>
      <c r="F15" s="892"/>
      <c r="G15" s="892"/>
      <c r="H15" s="892"/>
      <c r="I15" s="892"/>
      <c r="J15" s="892"/>
      <c r="K15" s="892"/>
    </row>
    <row r="16" spans="1:11" ht="6" customHeight="1">
      <c r="B16" s="7"/>
      <c r="C16" s="7"/>
      <c r="D16" s="7"/>
      <c r="E16" s="6"/>
      <c r="F16" s="6"/>
      <c r="G16" s="6"/>
      <c r="H16" s="6"/>
      <c r="I16" s="6"/>
      <c r="J16" s="6"/>
      <c r="K16" s="6"/>
    </row>
    <row r="17" spans="1:13" s="2" customFormat="1" ht="24" thickBot="1">
      <c r="A17" s="877" t="s">
        <v>67</v>
      </c>
      <c r="B17" s="878"/>
      <c r="C17" s="878"/>
      <c r="D17" s="878"/>
      <c r="E17" s="194" t="s">
        <v>26</v>
      </c>
      <c r="F17" s="101" t="s">
        <v>27</v>
      </c>
      <c r="G17" s="102" t="s">
        <v>28</v>
      </c>
      <c r="H17" s="36" t="s">
        <v>29</v>
      </c>
      <c r="I17" s="194" t="s">
        <v>30</v>
      </c>
      <c r="J17" s="238"/>
      <c r="K17" s="237" t="s">
        <v>82</v>
      </c>
      <c r="M17" s="395"/>
    </row>
    <row r="18" spans="1:13" ht="19.5" customHeight="1">
      <c r="A18" s="887" t="s">
        <v>236</v>
      </c>
      <c r="B18" s="890">
        <v>1</v>
      </c>
      <c r="C18" s="864" t="s">
        <v>23</v>
      </c>
      <c r="D18" s="865"/>
      <c r="E18" s="174" t="s">
        <v>31</v>
      </c>
      <c r="F18" s="132"/>
      <c r="G18" s="127"/>
      <c r="H18" s="118" t="s">
        <v>34</v>
      </c>
      <c r="I18" s="234">
        <f>F18*G18</f>
        <v>0</v>
      </c>
      <c r="J18" s="248" t="str">
        <f>IF(K18&lt;&gt;"","","(渡航経路を記入)")</f>
        <v>(渡航経路を記入)</v>
      </c>
      <c r="K18" s="239"/>
      <c r="L18" s="2"/>
    </row>
    <row r="19" spans="1:13" ht="19.5" customHeight="1">
      <c r="A19" s="888"/>
      <c r="B19" s="862"/>
      <c r="C19" s="866"/>
      <c r="D19" s="867"/>
      <c r="E19" s="12" t="s">
        <v>32</v>
      </c>
      <c r="F19" s="133"/>
      <c r="G19" s="128"/>
      <c r="H19" s="119" t="s">
        <v>35</v>
      </c>
      <c r="I19" s="235">
        <f t="shared" ref="I19:I20" si="0">F19*G19</f>
        <v>0</v>
      </c>
      <c r="J19" s="245" t="s">
        <v>81</v>
      </c>
      <c r="K19" s="240"/>
    </row>
    <row r="20" spans="1:13" ht="19.5" customHeight="1">
      <c r="A20" s="888"/>
      <c r="B20" s="863"/>
      <c r="C20" s="868"/>
      <c r="D20" s="869"/>
      <c r="E20" s="5" t="s">
        <v>33</v>
      </c>
      <c r="F20" s="417"/>
      <c r="G20" s="130"/>
      <c r="H20" s="120" t="s">
        <v>183</v>
      </c>
      <c r="I20" s="236">
        <f t="shared" si="0"/>
        <v>0</v>
      </c>
      <c r="J20" s="246" t="s">
        <v>81</v>
      </c>
      <c r="K20" s="241"/>
    </row>
    <row r="21" spans="1:13" ht="19.5" customHeight="1">
      <c r="A21" s="888"/>
      <c r="B21" s="861">
        <v>2</v>
      </c>
      <c r="C21" s="864" t="s">
        <v>23</v>
      </c>
      <c r="D21" s="865"/>
      <c r="E21" s="68" t="s">
        <v>31</v>
      </c>
      <c r="F21" s="134"/>
      <c r="G21" s="129"/>
      <c r="H21" s="175" t="s">
        <v>34</v>
      </c>
      <c r="I21" s="234">
        <f t="shared" ref="I21:I82" si="1">F21*G21</f>
        <v>0</v>
      </c>
      <c r="J21" s="244" t="str">
        <f>IF(K21&lt;&gt;"","","(渡航経路を記入)")</f>
        <v>(渡航経路を記入)</v>
      </c>
      <c r="K21" s="242"/>
    </row>
    <row r="22" spans="1:13" ht="19.5" customHeight="1">
      <c r="A22" s="888"/>
      <c r="B22" s="862"/>
      <c r="C22" s="866"/>
      <c r="D22" s="867"/>
      <c r="E22" s="12" t="s">
        <v>32</v>
      </c>
      <c r="F22" s="133"/>
      <c r="G22" s="128"/>
      <c r="H22" s="119" t="s">
        <v>35</v>
      </c>
      <c r="I22" s="235">
        <f t="shared" si="1"/>
        <v>0</v>
      </c>
      <c r="J22" s="245" t="s">
        <v>81</v>
      </c>
      <c r="K22" s="240"/>
    </row>
    <row r="23" spans="1:13" ht="19.5" customHeight="1">
      <c r="A23" s="888"/>
      <c r="B23" s="863"/>
      <c r="C23" s="868"/>
      <c r="D23" s="869"/>
      <c r="E23" s="5" t="s">
        <v>33</v>
      </c>
      <c r="F23" s="417"/>
      <c r="G23" s="130"/>
      <c r="H23" s="120" t="s">
        <v>183</v>
      </c>
      <c r="I23" s="236">
        <f t="shared" si="1"/>
        <v>0</v>
      </c>
      <c r="J23" s="246" t="s">
        <v>81</v>
      </c>
      <c r="K23" s="241"/>
    </row>
    <row r="24" spans="1:13" ht="19.5" customHeight="1">
      <c r="A24" s="888"/>
      <c r="B24" s="861">
        <v>3</v>
      </c>
      <c r="C24" s="864" t="s">
        <v>23</v>
      </c>
      <c r="D24" s="865"/>
      <c r="E24" s="68" t="s">
        <v>31</v>
      </c>
      <c r="F24" s="134"/>
      <c r="G24" s="129"/>
      <c r="H24" s="175" t="s">
        <v>34</v>
      </c>
      <c r="I24" s="234">
        <f t="shared" si="1"/>
        <v>0</v>
      </c>
      <c r="J24" s="244" t="str">
        <f>IF(K24&lt;&gt;"","","(渡航経路を記入)")</f>
        <v>(渡航経路を記入)</v>
      </c>
      <c r="K24" s="242"/>
    </row>
    <row r="25" spans="1:13" ht="19.5" customHeight="1">
      <c r="A25" s="888"/>
      <c r="B25" s="862"/>
      <c r="C25" s="866"/>
      <c r="D25" s="867"/>
      <c r="E25" s="12" t="s">
        <v>32</v>
      </c>
      <c r="F25" s="133"/>
      <c r="G25" s="128"/>
      <c r="H25" s="119" t="s">
        <v>35</v>
      </c>
      <c r="I25" s="235">
        <f t="shared" si="1"/>
        <v>0</v>
      </c>
      <c r="J25" s="245" t="s">
        <v>81</v>
      </c>
      <c r="K25" s="240"/>
    </row>
    <row r="26" spans="1:13" ht="19.5" customHeight="1">
      <c r="A26" s="888"/>
      <c r="B26" s="863"/>
      <c r="C26" s="868"/>
      <c r="D26" s="869"/>
      <c r="E26" s="5" t="s">
        <v>33</v>
      </c>
      <c r="F26" s="417"/>
      <c r="G26" s="130"/>
      <c r="H26" s="120" t="s">
        <v>183</v>
      </c>
      <c r="I26" s="236">
        <f t="shared" si="1"/>
        <v>0</v>
      </c>
      <c r="J26" s="246" t="s">
        <v>81</v>
      </c>
      <c r="K26" s="241"/>
    </row>
    <row r="27" spans="1:13" ht="19.5" customHeight="1">
      <c r="A27" s="888"/>
      <c r="B27" s="861">
        <v>4</v>
      </c>
      <c r="C27" s="864" t="s">
        <v>23</v>
      </c>
      <c r="D27" s="865"/>
      <c r="E27" s="68" t="s">
        <v>31</v>
      </c>
      <c r="F27" s="134"/>
      <c r="G27" s="129"/>
      <c r="H27" s="175" t="s">
        <v>34</v>
      </c>
      <c r="I27" s="234">
        <f t="shared" si="1"/>
        <v>0</v>
      </c>
      <c r="J27" s="244" t="str">
        <f>IF(K27&lt;&gt;"","","(渡航経路を記入)")</f>
        <v>(渡航経路を記入)</v>
      </c>
      <c r="K27" s="242"/>
    </row>
    <row r="28" spans="1:13" ht="19.5" customHeight="1">
      <c r="A28" s="888"/>
      <c r="B28" s="862"/>
      <c r="C28" s="866"/>
      <c r="D28" s="867"/>
      <c r="E28" s="12" t="s">
        <v>32</v>
      </c>
      <c r="F28" s="133"/>
      <c r="G28" s="128"/>
      <c r="H28" s="119" t="s">
        <v>35</v>
      </c>
      <c r="I28" s="235">
        <f t="shared" si="1"/>
        <v>0</v>
      </c>
      <c r="J28" s="245" t="s">
        <v>81</v>
      </c>
      <c r="K28" s="240"/>
    </row>
    <row r="29" spans="1:13" ht="19.5" customHeight="1">
      <c r="A29" s="888"/>
      <c r="B29" s="863"/>
      <c r="C29" s="868"/>
      <c r="D29" s="869"/>
      <c r="E29" s="5" t="s">
        <v>33</v>
      </c>
      <c r="F29" s="417"/>
      <c r="G29" s="130"/>
      <c r="H29" s="120" t="s">
        <v>183</v>
      </c>
      <c r="I29" s="236">
        <f t="shared" si="1"/>
        <v>0</v>
      </c>
      <c r="J29" s="246" t="s">
        <v>81</v>
      </c>
      <c r="K29" s="241"/>
    </row>
    <row r="30" spans="1:13" ht="19.5" customHeight="1">
      <c r="A30" s="888"/>
      <c r="B30" s="861">
        <v>5</v>
      </c>
      <c r="C30" s="864" t="s">
        <v>23</v>
      </c>
      <c r="D30" s="865"/>
      <c r="E30" s="68" t="s">
        <v>31</v>
      </c>
      <c r="F30" s="134"/>
      <c r="G30" s="129"/>
      <c r="H30" s="175" t="s">
        <v>34</v>
      </c>
      <c r="I30" s="234">
        <f t="shared" si="1"/>
        <v>0</v>
      </c>
      <c r="J30" s="244" t="str">
        <f>IF(K30&lt;&gt;"","","(渡航経路を記入)")</f>
        <v>(渡航経路を記入)</v>
      </c>
      <c r="K30" s="242"/>
    </row>
    <row r="31" spans="1:13" ht="19.5" customHeight="1">
      <c r="A31" s="888"/>
      <c r="B31" s="862"/>
      <c r="C31" s="866"/>
      <c r="D31" s="867"/>
      <c r="E31" s="12" t="s">
        <v>32</v>
      </c>
      <c r="F31" s="133"/>
      <c r="G31" s="128"/>
      <c r="H31" s="119" t="s">
        <v>35</v>
      </c>
      <c r="I31" s="235">
        <f t="shared" si="1"/>
        <v>0</v>
      </c>
      <c r="J31" s="245" t="s">
        <v>81</v>
      </c>
      <c r="K31" s="240"/>
    </row>
    <row r="32" spans="1:13" ht="19.5" customHeight="1">
      <c r="A32" s="888"/>
      <c r="B32" s="863"/>
      <c r="C32" s="868"/>
      <c r="D32" s="869"/>
      <c r="E32" s="5" t="s">
        <v>33</v>
      </c>
      <c r="F32" s="135"/>
      <c r="G32" s="130"/>
      <c r="H32" s="120" t="s">
        <v>183</v>
      </c>
      <c r="I32" s="236">
        <f t="shared" si="1"/>
        <v>0</v>
      </c>
      <c r="J32" s="246" t="s">
        <v>81</v>
      </c>
      <c r="K32" s="241"/>
    </row>
    <row r="33" spans="1:13" ht="19.5" customHeight="1">
      <c r="A33" s="888"/>
      <c r="B33" s="861">
        <v>6</v>
      </c>
      <c r="C33" s="864" t="s">
        <v>23</v>
      </c>
      <c r="D33" s="865"/>
      <c r="E33" s="68" t="s">
        <v>31</v>
      </c>
      <c r="F33" s="134"/>
      <c r="G33" s="129"/>
      <c r="H33" s="175" t="s">
        <v>34</v>
      </c>
      <c r="I33" s="234">
        <f t="shared" si="1"/>
        <v>0</v>
      </c>
      <c r="J33" s="244" t="str">
        <f>IF(K33&lt;&gt;"","","(渡航経路を記入)")</f>
        <v>(渡航経路を記入)</v>
      </c>
      <c r="K33" s="242"/>
      <c r="M33" s="406"/>
    </row>
    <row r="34" spans="1:13" ht="19.5" customHeight="1">
      <c r="A34" s="888"/>
      <c r="B34" s="862"/>
      <c r="C34" s="866"/>
      <c r="D34" s="867"/>
      <c r="E34" s="12" t="s">
        <v>32</v>
      </c>
      <c r="F34" s="133"/>
      <c r="G34" s="128"/>
      <c r="H34" s="119" t="s">
        <v>35</v>
      </c>
      <c r="I34" s="235">
        <f t="shared" si="1"/>
        <v>0</v>
      </c>
      <c r="J34" s="245" t="s">
        <v>81</v>
      </c>
      <c r="K34" s="240"/>
      <c r="M34" s="406"/>
    </row>
    <row r="35" spans="1:13" ht="19.5" customHeight="1">
      <c r="A35" s="888"/>
      <c r="B35" s="863"/>
      <c r="C35" s="868"/>
      <c r="D35" s="869"/>
      <c r="E35" s="5" t="s">
        <v>33</v>
      </c>
      <c r="F35" s="417"/>
      <c r="G35" s="130"/>
      <c r="H35" s="120" t="s">
        <v>183</v>
      </c>
      <c r="I35" s="236">
        <f t="shared" si="1"/>
        <v>0</v>
      </c>
      <c r="J35" s="246" t="s">
        <v>81</v>
      </c>
      <c r="K35" s="241"/>
      <c r="M35" s="406"/>
    </row>
    <row r="36" spans="1:13" ht="19.5" customHeight="1">
      <c r="A36" s="888"/>
      <c r="B36" s="861">
        <v>7</v>
      </c>
      <c r="C36" s="864" t="s">
        <v>23</v>
      </c>
      <c r="D36" s="865"/>
      <c r="E36" s="68" t="s">
        <v>31</v>
      </c>
      <c r="F36" s="134"/>
      <c r="G36" s="129"/>
      <c r="H36" s="175" t="s">
        <v>34</v>
      </c>
      <c r="I36" s="234">
        <f t="shared" si="1"/>
        <v>0</v>
      </c>
      <c r="J36" s="244" t="str">
        <f>IF(K36&lt;&gt;"","","(渡航経路を記入)")</f>
        <v>(渡航経路を記入)</v>
      </c>
      <c r="K36" s="242"/>
      <c r="M36" s="406"/>
    </row>
    <row r="37" spans="1:13" ht="19.5" customHeight="1">
      <c r="A37" s="888"/>
      <c r="B37" s="862"/>
      <c r="C37" s="866"/>
      <c r="D37" s="867"/>
      <c r="E37" s="12" t="s">
        <v>32</v>
      </c>
      <c r="F37" s="133"/>
      <c r="G37" s="128"/>
      <c r="H37" s="119" t="s">
        <v>35</v>
      </c>
      <c r="I37" s="235">
        <f t="shared" si="1"/>
        <v>0</v>
      </c>
      <c r="J37" s="245" t="s">
        <v>81</v>
      </c>
      <c r="K37" s="240"/>
      <c r="M37" s="406"/>
    </row>
    <row r="38" spans="1:13" ht="19.5" customHeight="1">
      <c r="A38" s="888"/>
      <c r="B38" s="863"/>
      <c r="C38" s="868"/>
      <c r="D38" s="869"/>
      <c r="E38" s="5" t="s">
        <v>33</v>
      </c>
      <c r="F38" s="417"/>
      <c r="G38" s="130"/>
      <c r="H38" s="120" t="s">
        <v>183</v>
      </c>
      <c r="I38" s="236">
        <f t="shared" si="1"/>
        <v>0</v>
      </c>
      <c r="J38" s="246" t="s">
        <v>81</v>
      </c>
      <c r="K38" s="241"/>
      <c r="M38" s="406"/>
    </row>
    <row r="39" spans="1:13" ht="19.5" customHeight="1">
      <c r="A39" s="888"/>
      <c r="B39" s="861">
        <v>8</v>
      </c>
      <c r="C39" s="864" t="s">
        <v>23</v>
      </c>
      <c r="D39" s="865"/>
      <c r="E39" s="68" t="s">
        <v>31</v>
      </c>
      <c r="F39" s="134"/>
      <c r="G39" s="129"/>
      <c r="H39" s="175" t="s">
        <v>34</v>
      </c>
      <c r="I39" s="234">
        <f t="shared" si="1"/>
        <v>0</v>
      </c>
      <c r="J39" s="244" t="str">
        <f>IF(K39&lt;&gt;"","","(渡航経路を記入)")</f>
        <v>(渡航経路を記入)</v>
      </c>
      <c r="K39" s="242"/>
    </row>
    <row r="40" spans="1:13" ht="19.5" customHeight="1">
      <c r="A40" s="888"/>
      <c r="B40" s="862"/>
      <c r="C40" s="866"/>
      <c r="D40" s="867"/>
      <c r="E40" s="12" t="s">
        <v>32</v>
      </c>
      <c r="F40" s="133"/>
      <c r="G40" s="128"/>
      <c r="H40" s="119" t="s">
        <v>35</v>
      </c>
      <c r="I40" s="235">
        <f t="shared" si="1"/>
        <v>0</v>
      </c>
      <c r="J40" s="245" t="s">
        <v>81</v>
      </c>
      <c r="K40" s="240"/>
    </row>
    <row r="41" spans="1:13" ht="19.5" customHeight="1">
      <c r="A41" s="888"/>
      <c r="B41" s="863"/>
      <c r="C41" s="868"/>
      <c r="D41" s="869"/>
      <c r="E41" s="5" t="s">
        <v>33</v>
      </c>
      <c r="F41" s="417"/>
      <c r="G41" s="130"/>
      <c r="H41" s="120" t="s">
        <v>183</v>
      </c>
      <c r="I41" s="236">
        <f t="shared" si="1"/>
        <v>0</v>
      </c>
      <c r="J41" s="246" t="s">
        <v>81</v>
      </c>
      <c r="K41" s="241"/>
    </row>
    <row r="42" spans="1:13" ht="19.5" customHeight="1">
      <c r="A42" s="888" t="s">
        <v>237</v>
      </c>
      <c r="B42" s="861">
        <v>9</v>
      </c>
      <c r="C42" s="864" t="s">
        <v>23</v>
      </c>
      <c r="D42" s="865"/>
      <c r="E42" s="68" t="s">
        <v>31</v>
      </c>
      <c r="F42" s="134"/>
      <c r="G42" s="129"/>
      <c r="H42" s="175" t="s">
        <v>34</v>
      </c>
      <c r="I42" s="234">
        <f t="shared" si="1"/>
        <v>0</v>
      </c>
      <c r="J42" s="244" t="str">
        <f>IF(K42&lt;&gt;"","","(渡航経路を記入)")</f>
        <v>(渡航経路を記入)</v>
      </c>
      <c r="K42" s="242"/>
    </row>
    <row r="43" spans="1:13" ht="19.5" customHeight="1">
      <c r="A43" s="888"/>
      <c r="B43" s="862"/>
      <c r="C43" s="866"/>
      <c r="D43" s="867"/>
      <c r="E43" s="12" t="s">
        <v>32</v>
      </c>
      <c r="F43" s="133"/>
      <c r="G43" s="128"/>
      <c r="H43" s="119" t="s">
        <v>35</v>
      </c>
      <c r="I43" s="235">
        <f t="shared" si="1"/>
        <v>0</v>
      </c>
      <c r="J43" s="245" t="s">
        <v>81</v>
      </c>
      <c r="K43" s="240"/>
    </row>
    <row r="44" spans="1:13" ht="19.5" customHeight="1">
      <c r="A44" s="888"/>
      <c r="B44" s="863"/>
      <c r="C44" s="868"/>
      <c r="D44" s="869"/>
      <c r="E44" s="5" t="s">
        <v>33</v>
      </c>
      <c r="F44" s="417"/>
      <c r="G44" s="130"/>
      <c r="H44" s="120" t="s">
        <v>183</v>
      </c>
      <c r="I44" s="236">
        <f t="shared" si="1"/>
        <v>0</v>
      </c>
      <c r="J44" s="246" t="s">
        <v>81</v>
      </c>
      <c r="K44" s="241"/>
    </row>
    <row r="45" spans="1:13" ht="19.5" customHeight="1">
      <c r="A45" s="888"/>
      <c r="B45" s="861">
        <v>10</v>
      </c>
      <c r="C45" s="864" t="s">
        <v>23</v>
      </c>
      <c r="D45" s="865"/>
      <c r="E45" s="68" t="s">
        <v>31</v>
      </c>
      <c r="F45" s="134"/>
      <c r="G45" s="129"/>
      <c r="H45" s="175" t="s">
        <v>34</v>
      </c>
      <c r="I45" s="234">
        <f t="shared" si="1"/>
        <v>0</v>
      </c>
      <c r="J45" s="244" t="str">
        <f>IF(K45&lt;&gt;"","","(渡航経路を記入)")</f>
        <v>(渡航経路を記入)</v>
      </c>
      <c r="K45" s="242"/>
    </row>
    <row r="46" spans="1:13" ht="19.5" customHeight="1">
      <c r="A46" s="888"/>
      <c r="B46" s="862"/>
      <c r="C46" s="866"/>
      <c r="D46" s="867"/>
      <c r="E46" s="12" t="s">
        <v>32</v>
      </c>
      <c r="F46" s="133"/>
      <c r="G46" s="128"/>
      <c r="H46" s="119" t="s">
        <v>35</v>
      </c>
      <c r="I46" s="235">
        <f t="shared" si="1"/>
        <v>0</v>
      </c>
      <c r="J46" s="245" t="s">
        <v>81</v>
      </c>
      <c r="K46" s="240"/>
    </row>
    <row r="47" spans="1:13" ht="19.5" customHeight="1">
      <c r="A47" s="888"/>
      <c r="B47" s="863"/>
      <c r="C47" s="868"/>
      <c r="D47" s="869"/>
      <c r="E47" s="5" t="s">
        <v>33</v>
      </c>
      <c r="F47" s="417"/>
      <c r="G47" s="130"/>
      <c r="H47" s="120" t="s">
        <v>183</v>
      </c>
      <c r="I47" s="236">
        <f t="shared" si="1"/>
        <v>0</v>
      </c>
      <c r="J47" s="246" t="s">
        <v>81</v>
      </c>
      <c r="K47" s="241"/>
    </row>
    <row r="48" spans="1:13" ht="19.5" customHeight="1">
      <c r="A48" s="888"/>
      <c r="B48" s="861">
        <v>11</v>
      </c>
      <c r="C48" s="864" t="s">
        <v>23</v>
      </c>
      <c r="D48" s="865"/>
      <c r="E48" s="68" t="s">
        <v>31</v>
      </c>
      <c r="F48" s="134"/>
      <c r="G48" s="129"/>
      <c r="H48" s="175" t="s">
        <v>34</v>
      </c>
      <c r="I48" s="234">
        <f t="shared" si="1"/>
        <v>0</v>
      </c>
      <c r="J48" s="244" t="str">
        <f>IF(K48&lt;&gt;"","","(渡航経路を記入)")</f>
        <v>(渡航経路を記入)</v>
      </c>
      <c r="K48" s="242"/>
    </row>
    <row r="49" spans="1:11" ht="19.5" customHeight="1">
      <c r="A49" s="888"/>
      <c r="B49" s="862"/>
      <c r="C49" s="866"/>
      <c r="D49" s="867"/>
      <c r="E49" s="12" t="s">
        <v>32</v>
      </c>
      <c r="F49" s="133"/>
      <c r="G49" s="128"/>
      <c r="H49" s="119" t="s">
        <v>35</v>
      </c>
      <c r="I49" s="235">
        <f t="shared" si="1"/>
        <v>0</v>
      </c>
      <c r="J49" s="245" t="s">
        <v>81</v>
      </c>
      <c r="K49" s="240"/>
    </row>
    <row r="50" spans="1:11" ht="19.5" customHeight="1">
      <c r="A50" s="888"/>
      <c r="B50" s="863"/>
      <c r="C50" s="868"/>
      <c r="D50" s="869"/>
      <c r="E50" s="5" t="s">
        <v>33</v>
      </c>
      <c r="F50" s="417"/>
      <c r="G50" s="130"/>
      <c r="H50" s="120" t="s">
        <v>183</v>
      </c>
      <c r="I50" s="236">
        <f t="shared" si="1"/>
        <v>0</v>
      </c>
      <c r="J50" s="246" t="s">
        <v>81</v>
      </c>
      <c r="K50" s="241"/>
    </row>
    <row r="51" spans="1:11" ht="19.5" customHeight="1">
      <c r="A51" s="888"/>
      <c r="B51" s="861">
        <v>12</v>
      </c>
      <c r="C51" s="864" t="s">
        <v>23</v>
      </c>
      <c r="D51" s="865"/>
      <c r="E51" s="68" t="s">
        <v>31</v>
      </c>
      <c r="F51" s="134"/>
      <c r="G51" s="129"/>
      <c r="H51" s="175" t="s">
        <v>34</v>
      </c>
      <c r="I51" s="234">
        <f t="shared" si="1"/>
        <v>0</v>
      </c>
      <c r="J51" s="244" t="str">
        <f>IF(K51&lt;&gt;"","","(渡航経路を記入)")</f>
        <v>(渡航経路を記入)</v>
      </c>
      <c r="K51" s="242"/>
    </row>
    <row r="52" spans="1:11" ht="19.5" customHeight="1">
      <c r="A52" s="888"/>
      <c r="B52" s="862"/>
      <c r="C52" s="866"/>
      <c r="D52" s="867"/>
      <c r="E52" s="12" t="s">
        <v>32</v>
      </c>
      <c r="F52" s="133"/>
      <c r="G52" s="128"/>
      <c r="H52" s="119" t="s">
        <v>35</v>
      </c>
      <c r="I52" s="235">
        <f t="shared" si="1"/>
        <v>0</v>
      </c>
      <c r="J52" s="245" t="s">
        <v>81</v>
      </c>
      <c r="K52" s="240"/>
    </row>
    <row r="53" spans="1:11" ht="19.5" customHeight="1">
      <c r="A53" s="888"/>
      <c r="B53" s="863"/>
      <c r="C53" s="868"/>
      <c r="D53" s="869"/>
      <c r="E53" s="5" t="s">
        <v>33</v>
      </c>
      <c r="F53" s="135"/>
      <c r="G53" s="130"/>
      <c r="H53" s="120" t="s">
        <v>183</v>
      </c>
      <c r="I53" s="236">
        <f t="shared" si="1"/>
        <v>0</v>
      </c>
      <c r="J53" s="246" t="s">
        <v>81</v>
      </c>
      <c r="K53" s="241"/>
    </row>
    <row r="54" spans="1:11" ht="19.5" hidden="1" customHeight="1">
      <c r="A54" s="888"/>
      <c r="B54" s="861">
        <v>13</v>
      </c>
      <c r="C54" s="881" t="s">
        <v>23</v>
      </c>
      <c r="D54" s="882"/>
      <c r="E54" s="68" t="s">
        <v>31</v>
      </c>
      <c r="F54" s="134"/>
      <c r="G54" s="129"/>
      <c r="H54" s="175" t="s">
        <v>34</v>
      </c>
      <c r="I54" s="234">
        <f t="shared" si="1"/>
        <v>0</v>
      </c>
      <c r="J54" s="244" t="str">
        <f>IF(K54&lt;&gt;"","","(渡航経路を記入)")</f>
        <v>(渡航経路を記入)</v>
      </c>
      <c r="K54" s="242"/>
    </row>
    <row r="55" spans="1:11" ht="19.5" hidden="1" customHeight="1">
      <c r="A55" s="888"/>
      <c r="B55" s="862"/>
      <c r="C55" s="883"/>
      <c r="D55" s="884"/>
      <c r="E55" s="12" t="s">
        <v>32</v>
      </c>
      <c r="F55" s="133"/>
      <c r="G55" s="128"/>
      <c r="H55" s="119" t="s">
        <v>35</v>
      </c>
      <c r="I55" s="235">
        <f t="shared" si="1"/>
        <v>0</v>
      </c>
      <c r="J55" s="245" t="s">
        <v>81</v>
      </c>
      <c r="K55" s="240"/>
    </row>
    <row r="56" spans="1:11" ht="19.5" hidden="1" customHeight="1">
      <c r="A56" s="888"/>
      <c r="B56" s="863"/>
      <c r="C56" s="885"/>
      <c r="D56" s="886"/>
      <c r="E56" s="5" t="s">
        <v>33</v>
      </c>
      <c r="F56" s="135"/>
      <c r="G56" s="130"/>
      <c r="H56" s="120" t="s">
        <v>183</v>
      </c>
      <c r="I56" s="236">
        <f t="shared" si="1"/>
        <v>0</v>
      </c>
      <c r="J56" s="246" t="s">
        <v>81</v>
      </c>
      <c r="K56" s="241"/>
    </row>
    <row r="57" spans="1:11" ht="19.5" hidden="1" customHeight="1">
      <c r="A57" s="888"/>
      <c r="B57" s="861">
        <v>14</v>
      </c>
      <c r="C57" s="881" t="s">
        <v>23</v>
      </c>
      <c r="D57" s="882"/>
      <c r="E57" s="68" t="s">
        <v>31</v>
      </c>
      <c r="F57" s="134"/>
      <c r="G57" s="129"/>
      <c r="H57" s="175" t="s">
        <v>34</v>
      </c>
      <c r="I57" s="234">
        <f t="shared" si="1"/>
        <v>0</v>
      </c>
      <c r="J57" s="244" t="str">
        <f>IF(K57&lt;&gt;"","","(渡航経路を記入)")</f>
        <v>(渡航経路を記入)</v>
      </c>
      <c r="K57" s="242"/>
    </row>
    <row r="58" spans="1:11" ht="19.5" hidden="1" customHeight="1">
      <c r="A58" s="888"/>
      <c r="B58" s="862"/>
      <c r="C58" s="883"/>
      <c r="D58" s="884"/>
      <c r="E58" s="12" t="s">
        <v>32</v>
      </c>
      <c r="F58" s="133"/>
      <c r="G58" s="128"/>
      <c r="H58" s="119" t="s">
        <v>35</v>
      </c>
      <c r="I58" s="235">
        <f t="shared" si="1"/>
        <v>0</v>
      </c>
      <c r="J58" s="245" t="s">
        <v>81</v>
      </c>
      <c r="K58" s="240"/>
    </row>
    <row r="59" spans="1:11" ht="19.5" hidden="1" customHeight="1">
      <c r="A59" s="888"/>
      <c r="B59" s="863"/>
      <c r="C59" s="885"/>
      <c r="D59" s="886"/>
      <c r="E59" s="5" t="s">
        <v>33</v>
      </c>
      <c r="F59" s="135"/>
      <c r="G59" s="130"/>
      <c r="H59" s="120" t="s">
        <v>183</v>
      </c>
      <c r="I59" s="236">
        <f t="shared" si="1"/>
        <v>0</v>
      </c>
      <c r="J59" s="246" t="s">
        <v>81</v>
      </c>
      <c r="K59" s="241"/>
    </row>
    <row r="60" spans="1:11" ht="19.5" hidden="1" customHeight="1">
      <c r="A60" s="888"/>
      <c r="B60" s="861">
        <v>15</v>
      </c>
      <c r="C60" s="881" t="s">
        <v>23</v>
      </c>
      <c r="D60" s="882"/>
      <c r="E60" s="68" t="s">
        <v>31</v>
      </c>
      <c r="F60" s="134"/>
      <c r="G60" s="129"/>
      <c r="H60" s="175" t="s">
        <v>34</v>
      </c>
      <c r="I60" s="234">
        <f t="shared" si="1"/>
        <v>0</v>
      </c>
      <c r="J60" s="244" t="str">
        <f>IF(K60&lt;&gt;"","","(渡航経路を記入)")</f>
        <v>(渡航経路を記入)</v>
      </c>
      <c r="K60" s="242"/>
    </row>
    <row r="61" spans="1:11" ht="19.5" hidden="1" customHeight="1">
      <c r="A61" s="888"/>
      <c r="B61" s="862"/>
      <c r="C61" s="883"/>
      <c r="D61" s="884"/>
      <c r="E61" s="12" t="s">
        <v>32</v>
      </c>
      <c r="F61" s="133"/>
      <c r="G61" s="128"/>
      <c r="H61" s="119" t="s">
        <v>35</v>
      </c>
      <c r="I61" s="235">
        <f t="shared" si="1"/>
        <v>0</v>
      </c>
      <c r="J61" s="245" t="s">
        <v>81</v>
      </c>
      <c r="K61" s="240"/>
    </row>
    <row r="62" spans="1:11" ht="19.5" hidden="1" customHeight="1">
      <c r="A62" s="888"/>
      <c r="B62" s="863"/>
      <c r="C62" s="885"/>
      <c r="D62" s="886"/>
      <c r="E62" s="5" t="s">
        <v>33</v>
      </c>
      <c r="F62" s="135"/>
      <c r="G62" s="130"/>
      <c r="H62" s="120" t="s">
        <v>183</v>
      </c>
      <c r="I62" s="236">
        <f t="shared" si="1"/>
        <v>0</v>
      </c>
      <c r="J62" s="246" t="s">
        <v>81</v>
      </c>
      <c r="K62" s="241"/>
    </row>
    <row r="63" spans="1:11" ht="19.5" hidden="1" customHeight="1">
      <c r="A63" s="888"/>
      <c r="B63" s="861">
        <v>16</v>
      </c>
      <c r="C63" s="881" t="s">
        <v>23</v>
      </c>
      <c r="D63" s="882"/>
      <c r="E63" s="68" t="s">
        <v>31</v>
      </c>
      <c r="F63" s="134"/>
      <c r="G63" s="129"/>
      <c r="H63" s="175" t="s">
        <v>34</v>
      </c>
      <c r="I63" s="234">
        <f t="shared" si="1"/>
        <v>0</v>
      </c>
      <c r="J63" s="244" t="str">
        <f>IF(K63&lt;&gt;"","","(渡航経路を記入)")</f>
        <v>(渡航経路を記入)</v>
      </c>
      <c r="K63" s="242"/>
    </row>
    <row r="64" spans="1:11" ht="19.5" hidden="1" customHeight="1">
      <c r="A64" s="888"/>
      <c r="B64" s="862"/>
      <c r="C64" s="883"/>
      <c r="D64" s="884"/>
      <c r="E64" s="12" t="s">
        <v>32</v>
      </c>
      <c r="F64" s="133"/>
      <c r="G64" s="128"/>
      <c r="H64" s="119" t="s">
        <v>35</v>
      </c>
      <c r="I64" s="235">
        <f t="shared" si="1"/>
        <v>0</v>
      </c>
      <c r="J64" s="245" t="s">
        <v>81</v>
      </c>
      <c r="K64" s="240"/>
    </row>
    <row r="65" spans="1:11" ht="19.5" hidden="1" customHeight="1">
      <c r="A65" s="888"/>
      <c r="B65" s="863"/>
      <c r="C65" s="885"/>
      <c r="D65" s="886"/>
      <c r="E65" s="5" t="s">
        <v>33</v>
      </c>
      <c r="F65" s="135"/>
      <c r="G65" s="130"/>
      <c r="H65" s="120" t="s">
        <v>183</v>
      </c>
      <c r="I65" s="236">
        <f t="shared" si="1"/>
        <v>0</v>
      </c>
      <c r="J65" s="246" t="s">
        <v>81</v>
      </c>
      <c r="K65" s="241"/>
    </row>
    <row r="66" spans="1:11" ht="19.5" hidden="1" customHeight="1">
      <c r="A66" s="888"/>
      <c r="B66" s="861">
        <v>17</v>
      </c>
      <c r="C66" s="881" t="s">
        <v>23</v>
      </c>
      <c r="D66" s="882"/>
      <c r="E66" s="68" t="s">
        <v>31</v>
      </c>
      <c r="F66" s="134"/>
      <c r="G66" s="129"/>
      <c r="H66" s="175" t="s">
        <v>34</v>
      </c>
      <c r="I66" s="234">
        <f t="shared" si="1"/>
        <v>0</v>
      </c>
      <c r="J66" s="244" t="str">
        <f>IF(K66&lt;&gt;"","","(渡航経路を記入)")</f>
        <v>(渡航経路を記入)</v>
      </c>
      <c r="K66" s="242"/>
    </row>
    <row r="67" spans="1:11" ht="19.5" hidden="1" customHeight="1">
      <c r="A67" s="888"/>
      <c r="B67" s="862"/>
      <c r="C67" s="883"/>
      <c r="D67" s="884"/>
      <c r="E67" s="12" t="s">
        <v>32</v>
      </c>
      <c r="F67" s="133"/>
      <c r="G67" s="128"/>
      <c r="H67" s="119" t="s">
        <v>35</v>
      </c>
      <c r="I67" s="235">
        <f t="shared" si="1"/>
        <v>0</v>
      </c>
      <c r="J67" s="245" t="s">
        <v>81</v>
      </c>
      <c r="K67" s="240"/>
    </row>
    <row r="68" spans="1:11" ht="19.5" hidden="1" customHeight="1">
      <c r="A68" s="888"/>
      <c r="B68" s="863"/>
      <c r="C68" s="885"/>
      <c r="D68" s="886"/>
      <c r="E68" s="5" t="s">
        <v>33</v>
      </c>
      <c r="F68" s="135"/>
      <c r="G68" s="130"/>
      <c r="H68" s="120" t="s">
        <v>183</v>
      </c>
      <c r="I68" s="236">
        <f t="shared" si="1"/>
        <v>0</v>
      </c>
      <c r="J68" s="246" t="s">
        <v>81</v>
      </c>
      <c r="K68" s="241"/>
    </row>
    <row r="69" spans="1:11" ht="19.5" hidden="1" customHeight="1">
      <c r="A69" s="888"/>
      <c r="B69" s="861">
        <v>18</v>
      </c>
      <c r="C69" s="881" t="s">
        <v>23</v>
      </c>
      <c r="D69" s="882"/>
      <c r="E69" s="68" t="s">
        <v>31</v>
      </c>
      <c r="F69" s="134"/>
      <c r="G69" s="129"/>
      <c r="H69" s="175" t="s">
        <v>34</v>
      </c>
      <c r="I69" s="234">
        <f t="shared" si="1"/>
        <v>0</v>
      </c>
      <c r="J69" s="244" t="str">
        <f>IF(K69&lt;&gt;"","","(渡航経路を記入)")</f>
        <v>(渡航経路を記入)</v>
      </c>
      <c r="K69" s="242"/>
    </row>
    <row r="70" spans="1:11" ht="19.5" hidden="1" customHeight="1">
      <c r="A70" s="888"/>
      <c r="B70" s="862"/>
      <c r="C70" s="883"/>
      <c r="D70" s="884"/>
      <c r="E70" s="12" t="s">
        <v>32</v>
      </c>
      <c r="F70" s="133"/>
      <c r="G70" s="128"/>
      <c r="H70" s="119" t="s">
        <v>35</v>
      </c>
      <c r="I70" s="235">
        <f t="shared" si="1"/>
        <v>0</v>
      </c>
      <c r="J70" s="245" t="s">
        <v>81</v>
      </c>
      <c r="K70" s="240"/>
    </row>
    <row r="71" spans="1:11" ht="19.5" hidden="1" customHeight="1">
      <c r="A71" s="70"/>
      <c r="B71" s="863"/>
      <c r="C71" s="885"/>
      <c r="D71" s="886"/>
      <c r="E71" s="5" t="s">
        <v>33</v>
      </c>
      <c r="F71" s="135"/>
      <c r="G71" s="130"/>
      <c r="H71" s="120" t="s">
        <v>183</v>
      </c>
      <c r="I71" s="236">
        <f t="shared" si="1"/>
        <v>0</v>
      </c>
      <c r="J71" s="246" t="s">
        <v>81</v>
      </c>
      <c r="K71" s="241"/>
    </row>
    <row r="72" spans="1:11" ht="19.5" hidden="1" customHeight="1">
      <c r="A72" s="888" t="s">
        <v>237</v>
      </c>
      <c r="B72" s="861">
        <v>19</v>
      </c>
      <c r="C72" s="881" t="s">
        <v>23</v>
      </c>
      <c r="D72" s="882"/>
      <c r="E72" s="68" t="s">
        <v>31</v>
      </c>
      <c r="F72" s="134"/>
      <c r="G72" s="129"/>
      <c r="H72" s="175" t="s">
        <v>34</v>
      </c>
      <c r="I72" s="234">
        <f t="shared" si="1"/>
        <v>0</v>
      </c>
      <c r="J72" s="244" t="str">
        <f>IF(K72&lt;&gt;"","","(渡航経路を記入)")</f>
        <v>(渡航経路を記入)</v>
      </c>
      <c r="K72" s="242"/>
    </row>
    <row r="73" spans="1:11" ht="19.5" hidden="1" customHeight="1">
      <c r="A73" s="888"/>
      <c r="B73" s="862"/>
      <c r="C73" s="883"/>
      <c r="D73" s="884"/>
      <c r="E73" s="12" t="s">
        <v>32</v>
      </c>
      <c r="F73" s="133"/>
      <c r="G73" s="128"/>
      <c r="H73" s="119" t="s">
        <v>35</v>
      </c>
      <c r="I73" s="235">
        <f t="shared" si="1"/>
        <v>0</v>
      </c>
      <c r="J73" s="245" t="s">
        <v>81</v>
      </c>
      <c r="K73" s="240"/>
    </row>
    <row r="74" spans="1:11" ht="19.5" hidden="1" customHeight="1">
      <c r="A74" s="888"/>
      <c r="B74" s="863"/>
      <c r="C74" s="885"/>
      <c r="D74" s="886"/>
      <c r="E74" s="5" t="s">
        <v>33</v>
      </c>
      <c r="F74" s="135"/>
      <c r="G74" s="130"/>
      <c r="H74" s="120" t="s">
        <v>183</v>
      </c>
      <c r="I74" s="236">
        <f t="shared" si="1"/>
        <v>0</v>
      </c>
      <c r="J74" s="246" t="s">
        <v>81</v>
      </c>
      <c r="K74" s="241"/>
    </row>
    <row r="75" spans="1:11" ht="19.5" hidden="1" customHeight="1">
      <c r="A75" s="888"/>
      <c r="B75" s="861">
        <v>20</v>
      </c>
      <c r="C75" s="881" t="s">
        <v>23</v>
      </c>
      <c r="D75" s="882"/>
      <c r="E75" s="68" t="s">
        <v>31</v>
      </c>
      <c r="F75" s="134"/>
      <c r="G75" s="129"/>
      <c r="H75" s="175" t="s">
        <v>34</v>
      </c>
      <c r="I75" s="234">
        <f t="shared" si="1"/>
        <v>0</v>
      </c>
      <c r="J75" s="244" t="str">
        <f>IF(K75&lt;&gt;"","","(渡航経路を記入)")</f>
        <v>(渡航経路を記入)</v>
      </c>
      <c r="K75" s="242"/>
    </row>
    <row r="76" spans="1:11" ht="19.5" hidden="1" customHeight="1">
      <c r="A76" s="888"/>
      <c r="B76" s="862"/>
      <c r="C76" s="883"/>
      <c r="D76" s="884"/>
      <c r="E76" s="12" t="s">
        <v>32</v>
      </c>
      <c r="F76" s="133"/>
      <c r="G76" s="128"/>
      <c r="H76" s="119" t="s">
        <v>35</v>
      </c>
      <c r="I76" s="235">
        <f t="shared" si="1"/>
        <v>0</v>
      </c>
      <c r="J76" s="245" t="s">
        <v>81</v>
      </c>
      <c r="K76" s="240"/>
    </row>
    <row r="77" spans="1:11" ht="19.5" hidden="1" customHeight="1">
      <c r="A77" s="888"/>
      <c r="B77" s="863"/>
      <c r="C77" s="885"/>
      <c r="D77" s="886"/>
      <c r="E77" s="5" t="s">
        <v>33</v>
      </c>
      <c r="F77" s="135"/>
      <c r="G77" s="130"/>
      <c r="H77" s="120" t="s">
        <v>183</v>
      </c>
      <c r="I77" s="236">
        <f t="shared" si="1"/>
        <v>0</v>
      </c>
      <c r="J77" s="246" t="s">
        <v>81</v>
      </c>
      <c r="K77" s="241"/>
    </row>
    <row r="78" spans="1:11" ht="19.5" hidden="1" customHeight="1">
      <c r="A78" s="888"/>
      <c r="B78" s="861">
        <v>21</v>
      </c>
      <c r="C78" s="881" t="s">
        <v>23</v>
      </c>
      <c r="D78" s="882"/>
      <c r="E78" s="68" t="s">
        <v>31</v>
      </c>
      <c r="F78" s="134"/>
      <c r="G78" s="129"/>
      <c r="H78" s="175" t="s">
        <v>34</v>
      </c>
      <c r="I78" s="234">
        <f t="shared" si="1"/>
        <v>0</v>
      </c>
      <c r="J78" s="244" t="str">
        <f>IF(K78&lt;&gt;"","","(渡航経路を記入)")</f>
        <v>(渡航経路を記入)</v>
      </c>
      <c r="K78" s="242"/>
    </row>
    <row r="79" spans="1:11" ht="19.5" hidden="1" customHeight="1">
      <c r="A79" s="888"/>
      <c r="B79" s="862"/>
      <c r="C79" s="883"/>
      <c r="D79" s="884"/>
      <c r="E79" s="12" t="s">
        <v>32</v>
      </c>
      <c r="F79" s="133"/>
      <c r="G79" s="128"/>
      <c r="H79" s="119" t="s">
        <v>35</v>
      </c>
      <c r="I79" s="235">
        <f t="shared" si="1"/>
        <v>0</v>
      </c>
      <c r="J79" s="245" t="s">
        <v>81</v>
      </c>
      <c r="K79" s="240"/>
    </row>
    <row r="80" spans="1:11" ht="19.5" hidden="1" customHeight="1">
      <c r="A80" s="888"/>
      <c r="B80" s="863"/>
      <c r="C80" s="885"/>
      <c r="D80" s="886"/>
      <c r="E80" s="5" t="s">
        <v>33</v>
      </c>
      <c r="F80" s="135"/>
      <c r="G80" s="130"/>
      <c r="H80" s="120" t="s">
        <v>183</v>
      </c>
      <c r="I80" s="236">
        <f t="shared" si="1"/>
        <v>0</v>
      </c>
      <c r="J80" s="246" t="s">
        <v>81</v>
      </c>
      <c r="K80" s="241"/>
    </row>
    <row r="81" spans="1:11" ht="19.5" hidden="1" customHeight="1">
      <c r="A81" s="888"/>
      <c r="B81" s="861">
        <v>22</v>
      </c>
      <c r="C81" s="881" t="s">
        <v>23</v>
      </c>
      <c r="D81" s="882"/>
      <c r="E81" s="68" t="s">
        <v>31</v>
      </c>
      <c r="F81" s="134"/>
      <c r="G81" s="129"/>
      <c r="H81" s="175" t="s">
        <v>34</v>
      </c>
      <c r="I81" s="234">
        <f t="shared" si="1"/>
        <v>0</v>
      </c>
      <c r="J81" s="244" t="str">
        <f>IF(K81&lt;&gt;"","","(渡航経路を記入)")</f>
        <v>(渡航経路を記入)</v>
      </c>
      <c r="K81" s="242"/>
    </row>
    <row r="82" spans="1:11" ht="19.5" hidden="1" customHeight="1">
      <c r="A82" s="888"/>
      <c r="B82" s="862"/>
      <c r="C82" s="883"/>
      <c r="D82" s="884"/>
      <c r="E82" s="12" t="s">
        <v>32</v>
      </c>
      <c r="F82" s="133"/>
      <c r="G82" s="128"/>
      <c r="H82" s="119" t="s">
        <v>35</v>
      </c>
      <c r="I82" s="235">
        <f t="shared" si="1"/>
        <v>0</v>
      </c>
      <c r="J82" s="245" t="s">
        <v>81</v>
      </c>
      <c r="K82" s="240"/>
    </row>
    <row r="83" spans="1:11" ht="19.5" hidden="1" customHeight="1">
      <c r="A83" s="888"/>
      <c r="B83" s="863"/>
      <c r="C83" s="885"/>
      <c r="D83" s="886"/>
      <c r="E83" s="5" t="s">
        <v>33</v>
      </c>
      <c r="F83" s="135"/>
      <c r="G83" s="130"/>
      <c r="H83" s="120" t="s">
        <v>183</v>
      </c>
      <c r="I83" s="236">
        <f t="shared" ref="I83:I92" si="2">F83*G83</f>
        <v>0</v>
      </c>
      <c r="J83" s="246" t="s">
        <v>81</v>
      </c>
      <c r="K83" s="241"/>
    </row>
    <row r="84" spans="1:11" ht="19.5" hidden="1" customHeight="1">
      <c r="A84" s="888"/>
      <c r="B84" s="861">
        <v>23</v>
      </c>
      <c r="C84" s="881" t="s">
        <v>23</v>
      </c>
      <c r="D84" s="882"/>
      <c r="E84" s="68" t="s">
        <v>31</v>
      </c>
      <c r="F84" s="134"/>
      <c r="G84" s="129"/>
      <c r="H84" s="175" t="s">
        <v>34</v>
      </c>
      <c r="I84" s="234">
        <f t="shared" si="2"/>
        <v>0</v>
      </c>
      <c r="J84" s="244" t="str">
        <f>IF(K84&lt;&gt;"","","(渡航経路を記入)")</f>
        <v>(渡航経路を記入)</v>
      </c>
      <c r="K84" s="242"/>
    </row>
    <row r="85" spans="1:11" ht="19.5" hidden="1" customHeight="1">
      <c r="A85" s="888"/>
      <c r="B85" s="862"/>
      <c r="C85" s="883"/>
      <c r="D85" s="884"/>
      <c r="E85" s="12" t="s">
        <v>32</v>
      </c>
      <c r="F85" s="133"/>
      <c r="G85" s="128"/>
      <c r="H85" s="119" t="s">
        <v>35</v>
      </c>
      <c r="I85" s="235">
        <f t="shared" si="2"/>
        <v>0</v>
      </c>
      <c r="J85" s="245" t="s">
        <v>81</v>
      </c>
      <c r="K85" s="240"/>
    </row>
    <row r="86" spans="1:11" ht="19.5" hidden="1" customHeight="1">
      <c r="A86" s="888"/>
      <c r="B86" s="863"/>
      <c r="C86" s="885"/>
      <c r="D86" s="886"/>
      <c r="E86" s="5" t="s">
        <v>33</v>
      </c>
      <c r="F86" s="135"/>
      <c r="G86" s="130"/>
      <c r="H86" s="120" t="s">
        <v>183</v>
      </c>
      <c r="I86" s="236">
        <f t="shared" si="2"/>
        <v>0</v>
      </c>
      <c r="J86" s="246" t="s">
        <v>81</v>
      </c>
      <c r="K86" s="241"/>
    </row>
    <row r="87" spans="1:11" ht="19.5" hidden="1" customHeight="1">
      <c r="A87" s="888"/>
      <c r="B87" s="861">
        <v>24</v>
      </c>
      <c r="C87" s="881" t="s">
        <v>23</v>
      </c>
      <c r="D87" s="882"/>
      <c r="E87" s="68" t="s">
        <v>31</v>
      </c>
      <c r="F87" s="134"/>
      <c r="G87" s="129"/>
      <c r="H87" s="175" t="s">
        <v>34</v>
      </c>
      <c r="I87" s="234">
        <f t="shared" si="2"/>
        <v>0</v>
      </c>
      <c r="J87" s="244" t="str">
        <f>IF(K87&lt;&gt;"","","(渡航経路を記入)")</f>
        <v>(渡航経路を記入)</v>
      </c>
      <c r="K87" s="242"/>
    </row>
    <row r="88" spans="1:11" ht="19.5" hidden="1" customHeight="1">
      <c r="A88" s="888"/>
      <c r="B88" s="862"/>
      <c r="C88" s="883"/>
      <c r="D88" s="884"/>
      <c r="E88" s="12" t="s">
        <v>32</v>
      </c>
      <c r="F88" s="133"/>
      <c r="G88" s="128"/>
      <c r="H88" s="119" t="s">
        <v>35</v>
      </c>
      <c r="I88" s="235">
        <f t="shared" si="2"/>
        <v>0</v>
      </c>
      <c r="J88" s="245" t="s">
        <v>81</v>
      </c>
      <c r="K88" s="240"/>
    </row>
    <row r="89" spans="1:11" ht="19.5" hidden="1" customHeight="1">
      <c r="A89" s="888"/>
      <c r="B89" s="863"/>
      <c r="C89" s="885"/>
      <c r="D89" s="886"/>
      <c r="E89" s="5" t="s">
        <v>33</v>
      </c>
      <c r="F89" s="135"/>
      <c r="G89" s="130"/>
      <c r="H89" s="120" t="s">
        <v>183</v>
      </c>
      <c r="I89" s="236">
        <f t="shared" si="2"/>
        <v>0</v>
      </c>
      <c r="J89" s="246" t="s">
        <v>81</v>
      </c>
      <c r="K89" s="241"/>
    </row>
    <row r="90" spans="1:11" ht="19.5" hidden="1" customHeight="1">
      <c r="A90" s="888"/>
      <c r="B90" s="861">
        <v>25</v>
      </c>
      <c r="C90" s="881" t="s">
        <v>23</v>
      </c>
      <c r="D90" s="882"/>
      <c r="E90" s="68" t="s">
        <v>31</v>
      </c>
      <c r="F90" s="134"/>
      <c r="G90" s="129"/>
      <c r="H90" s="118" t="s">
        <v>34</v>
      </c>
      <c r="I90" s="234">
        <f t="shared" si="2"/>
        <v>0</v>
      </c>
      <c r="J90" s="244" t="str">
        <f>IF(K90&lt;&gt;"","","(渡航経路を記入)")</f>
        <v>(渡航経路を記入)</v>
      </c>
      <c r="K90" s="242"/>
    </row>
    <row r="91" spans="1:11" ht="19.5" hidden="1" customHeight="1">
      <c r="A91" s="888"/>
      <c r="B91" s="862"/>
      <c r="C91" s="883"/>
      <c r="D91" s="884"/>
      <c r="E91" s="12" t="s">
        <v>32</v>
      </c>
      <c r="F91" s="133"/>
      <c r="G91" s="128"/>
      <c r="H91" s="119" t="s">
        <v>35</v>
      </c>
      <c r="I91" s="235">
        <f t="shared" si="2"/>
        <v>0</v>
      </c>
      <c r="J91" s="245" t="s">
        <v>81</v>
      </c>
      <c r="K91" s="240"/>
    </row>
    <row r="92" spans="1:11" ht="19.5" hidden="1" customHeight="1" thickBot="1">
      <c r="A92" s="889"/>
      <c r="B92" s="863"/>
      <c r="C92" s="885"/>
      <c r="D92" s="886"/>
      <c r="E92" s="5" t="s">
        <v>33</v>
      </c>
      <c r="F92" s="136"/>
      <c r="G92" s="131"/>
      <c r="H92" s="120" t="s">
        <v>183</v>
      </c>
      <c r="I92" s="236">
        <f t="shared" si="2"/>
        <v>0</v>
      </c>
      <c r="J92" s="247" t="s">
        <v>81</v>
      </c>
      <c r="K92" s="243"/>
    </row>
  </sheetData>
  <sheetProtection algorithmName="SHA-512" hashValue="oQv9wfuU4cKC3NS2Hn//3d9YEnFyXgDbtAr6KnxzG6Z7cmVqJRTADgUuENCxOx3MUU30ut7djuJULvA4xNJssA==" saltValue="URpNsdmqnw/mBV4SwIbNUg==" spinCount="100000" sheet="1" formatCells="0" formatColumns="0" formatRows="0" selectLockedCells="1"/>
  <mergeCells count="69">
    <mergeCell ref="A2:K2"/>
    <mergeCell ref="E13:K13"/>
    <mergeCell ref="E15:K15"/>
    <mergeCell ref="E14:K14"/>
    <mergeCell ref="A7:D7"/>
    <mergeCell ref="A5:D5"/>
    <mergeCell ref="A8:D8"/>
    <mergeCell ref="A6:D6"/>
    <mergeCell ref="A9:D10"/>
    <mergeCell ref="B54:B56"/>
    <mergeCell ref="C51:D53"/>
    <mergeCell ref="C54:D56"/>
    <mergeCell ref="B30:B32"/>
    <mergeCell ref="B33:B35"/>
    <mergeCell ref="B36:B38"/>
    <mergeCell ref="B39:B41"/>
    <mergeCell ref="B42:B44"/>
    <mergeCell ref="C30:D32"/>
    <mergeCell ref="C33:D35"/>
    <mergeCell ref="C48:D50"/>
    <mergeCell ref="B51:B53"/>
    <mergeCell ref="C39:D41"/>
    <mergeCell ref="C42:D44"/>
    <mergeCell ref="C45:D47"/>
    <mergeCell ref="C36:D38"/>
    <mergeCell ref="C90:D92"/>
    <mergeCell ref="A18:A41"/>
    <mergeCell ref="A72:A92"/>
    <mergeCell ref="A42:A70"/>
    <mergeCell ref="B66:B68"/>
    <mergeCell ref="B72:B74"/>
    <mergeCell ref="B90:B92"/>
    <mergeCell ref="B75:B77"/>
    <mergeCell ref="B57:B59"/>
    <mergeCell ref="B48:B50"/>
    <mergeCell ref="B45:B47"/>
    <mergeCell ref="B18:B20"/>
    <mergeCell ref="B78:B80"/>
    <mergeCell ref="B81:B83"/>
    <mergeCell ref="B69:B71"/>
    <mergeCell ref="C66:D68"/>
    <mergeCell ref="B84:B86"/>
    <mergeCell ref="B87:B89"/>
    <mergeCell ref="C84:D86"/>
    <mergeCell ref="C87:D89"/>
    <mergeCell ref="C69:D71"/>
    <mergeCell ref="C72:D74"/>
    <mergeCell ref="C75:D77"/>
    <mergeCell ref="C78:D80"/>
    <mergeCell ref="C81:D83"/>
    <mergeCell ref="B60:B62"/>
    <mergeCell ref="B63:B65"/>
    <mergeCell ref="C57:D59"/>
    <mergeCell ref="C60:D62"/>
    <mergeCell ref="C63:D65"/>
    <mergeCell ref="B27:B29"/>
    <mergeCell ref="C27:D29"/>
    <mergeCell ref="E9:K10"/>
    <mergeCell ref="E7:K8"/>
    <mergeCell ref="E5:K6"/>
    <mergeCell ref="A17:D17"/>
    <mergeCell ref="B21:B23"/>
    <mergeCell ref="B24:B26"/>
    <mergeCell ref="C18:D20"/>
    <mergeCell ref="C21:D23"/>
    <mergeCell ref="C24:D26"/>
    <mergeCell ref="B13:C13"/>
    <mergeCell ref="B14:C14"/>
    <mergeCell ref="B15:C15"/>
  </mergeCells>
  <phoneticPr fontId="22"/>
  <conditionalFormatting sqref="C18 C21 C24 C27 C30 C33 C36 C39 C42 C45 C48 C51">
    <cfRule type="expression" dxfId="191" priority="222">
      <formula>$C18="※選択してください"</formula>
    </cfRule>
  </conditionalFormatting>
  <conditionalFormatting sqref="C54">
    <cfRule type="expression" dxfId="190" priority="92">
      <formula>AND($C54="※選択してください",$F54&lt;&gt;"")</formula>
    </cfRule>
  </conditionalFormatting>
  <conditionalFormatting sqref="C57">
    <cfRule type="expression" dxfId="189" priority="91">
      <formula>AND($C57="※選択してください",$F57&lt;&gt;"")</formula>
    </cfRule>
  </conditionalFormatting>
  <conditionalFormatting sqref="C60">
    <cfRule type="expression" dxfId="188" priority="90">
      <formula>AND($C60="※選択してください",$F60&lt;&gt;"")</formula>
    </cfRule>
  </conditionalFormatting>
  <conditionalFormatting sqref="C63">
    <cfRule type="expression" dxfId="187" priority="89">
      <formula>AND($C63="※選択してください",$F63&lt;&gt;"")</formula>
    </cfRule>
  </conditionalFormatting>
  <conditionalFormatting sqref="C66">
    <cfRule type="expression" dxfId="186" priority="88">
      <formula>AND($C66="※選択してください",$F66&lt;&gt;"")</formula>
    </cfRule>
  </conditionalFormatting>
  <conditionalFormatting sqref="C69">
    <cfRule type="expression" dxfId="185" priority="87">
      <formula>AND($C69="※選択してください",$F69&lt;&gt;"")</formula>
    </cfRule>
  </conditionalFormatting>
  <conditionalFormatting sqref="C72">
    <cfRule type="expression" dxfId="184" priority="86">
      <formula>AND($C72="※選択してください",$F72&lt;&gt;"")</formula>
    </cfRule>
  </conditionalFormatting>
  <conditionalFormatting sqref="C75">
    <cfRule type="expression" dxfId="183" priority="85">
      <formula>AND($C75="※選択してください",$F75&lt;&gt;"")</formula>
    </cfRule>
  </conditionalFormatting>
  <conditionalFormatting sqref="C78">
    <cfRule type="expression" dxfId="182" priority="84">
      <formula>AND($C78="※選択してください",$F78&lt;&gt;"")</formula>
    </cfRule>
  </conditionalFormatting>
  <conditionalFormatting sqref="C81">
    <cfRule type="expression" dxfId="181" priority="83">
      <formula>AND($C81="※選択してください",$F81&lt;&gt;"")</formula>
    </cfRule>
  </conditionalFormatting>
  <conditionalFormatting sqref="C84">
    <cfRule type="expression" dxfId="180" priority="82">
      <formula>AND($C84="※選択してください",$F84&lt;&gt;"")</formula>
    </cfRule>
  </conditionalFormatting>
  <conditionalFormatting sqref="C87">
    <cfRule type="expression" dxfId="179" priority="81">
      <formula>AND($C87="※選択してください",$F87&lt;&gt;"")</formula>
    </cfRule>
  </conditionalFormatting>
  <conditionalFormatting sqref="C90">
    <cfRule type="expression" dxfId="178" priority="80">
      <formula>AND($C90="※選択してください",$F90&lt;&gt;"")</formula>
    </cfRule>
  </conditionalFormatting>
  <conditionalFormatting sqref="F18">
    <cfRule type="expression" dxfId="177" priority="23">
      <formula>AND($C18&lt;&gt;"※選択してください",$F18="")</formula>
    </cfRule>
  </conditionalFormatting>
  <conditionalFormatting sqref="F21">
    <cfRule type="expression" dxfId="175" priority="21">
      <formula>AND($C21&lt;&gt;"※選択してください",$F21="")</formula>
    </cfRule>
  </conditionalFormatting>
  <conditionalFormatting sqref="F24">
    <cfRule type="expression" dxfId="172" priority="19">
      <formula>AND($C24&lt;&gt;"※選択してください",$F24="")</formula>
    </cfRule>
  </conditionalFormatting>
  <conditionalFormatting sqref="F27">
    <cfRule type="expression" dxfId="171" priority="17">
      <formula>AND($C27&lt;&gt;"※選択してください",$F27="")</formula>
    </cfRule>
  </conditionalFormatting>
  <conditionalFormatting sqref="F30">
    <cfRule type="expression" dxfId="169" priority="15">
      <formula>AND($C30&lt;&gt;"※選択してください",$F30="")</formula>
    </cfRule>
  </conditionalFormatting>
  <conditionalFormatting sqref="F33">
    <cfRule type="expression" dxfId="166" priority="13">
      <formula>AND($C33&lt;&gt;"※選択してください",$F33="")</formula>
    </cfRule>
  </conditionalFormatting>
  <conditionalFormatting sqref="F36">
    <cfRule type="expression" dxfId="164" priority="11">
      <formula>AND($C36&lt;&gt;"※選択してください",$F36="")</formula>
    </cfRule>
  </conditionalFormatting>
  <conditionalFormatting sqref="F39">
    <cfRule type="expression" dxfId="162" priority="9">
      <formula>AND($C39&lt;&gt;"※選択してください",$F39="")</formula>
    </cfRule>
  </conditionalFormatting>
  <conditionalFormatting sqref="F42">
    <cfRule type="expression" dxfId="161" priority="7">
      <formula>AND($C42&lt;&gt;"※選択してください",$F42="")</formula>
    </cfRule>
  </conditionalFormatting>
  <conditionalFormatting sqref="F45">
    <cfRule type="expression" dxfId="158" priority="5">
      <formula>AND($C45&lt;&gt;"※選択してください",$F45="")</formula>
    </cfRule>
  </conditionalFormatting>
  <conditionalFormatting sqref="F48">
    <cfRule type="expression" dxfId="156" priority="3">
      <formula>AND($C48&lt;&gt;"※選択してください",$F48="")</formula>
    </cfRule>
  </conditionalFormatting>
  <conditionalFormatting sqref="F51">
    <cfRule type="expression" dxfId="155" priority="1">
      <formula>AND($C51&lt;&gt;"※選択してください",$F51="")</formula>
    </cfRule>
  </conditionalFormatting>
  <conditionalFormatting sqref="F54">
    <cfRule type="expression" dxfId="153" priority="368">
      <formula>AND($C54&lt;&gt;"※選択してください",$F54="")</formula>
    </cfRule>
  </conditionalFormatting>
  <conditionalFormatting sqref="F57">
    <cfRule type="expression" dxfId="152" priority="366">
      <formula>AND($C57&lt;&gt;"※選択してください",$F57="")</formula>
    </cfRule>
  </conditionalFormatting>
  <conditionalFormatting sqref="F60">
    <cfRule type="expression" dxfId="151" priority="364">
      <formula>AND($C60&lt;&gt;"※選択してください",$F60="")</formula>
    </cfRule>
  </conditionalFormatting>
  <conditionalFormatting sqref="F63">
    <cfRule type="expression" dxfId="150" priority="362">
      <formula>AND($C63&lt;&gt;"※選択してください",$F63="")</formula>
    </cfRule>
  </conditionalFormatting>
  <conditionalFormatting sqref="F66">
    <cfRule type="expression" dxfId="149" priority="360">
      <formula>AND($C66&lt;&gt;"※選択してください",$F66="")</formula>
    </cfRule>
  </conditionalFormatting>
  <conditionalFormatting sqref="F69">
    <cfRule type="expression" dxfId="148" priority="358">
      <formula>AND($C69&lt;&gt;"※選択してください",$F69="")</formula>
    </cfRule>
  </conditionalFormatting>
  <conditionalFormatting sqref="F72">
    <cfRule type="expression" dxfId="147" priority="356">
      <formula>AND($C72&lt;&gt;"※選択してください",$F72="")</formula>
    </cfRule>
  </conditionalFormatting>
  <conditionalFormatting sqref="F75">
    <cfRule type="expression" dxfId="146" priority="354">
      <formula>AND($C75&lt;&gt;"※選択してください",$F75="")</formula>
    </cfRule>
  </conditionalFormatting>
  <conditionalFormatting sqref="F78">
    <cfRule type="expression" dxfId="145" priority="352">
      <formula>AND($C78&lt;&gt;"※選択してください",$F78="")</formula>
    </cfRule>
  </conditionalFormatting>
  <conditionalFormatting sqref="F81">
    <cfRule type="expression" dxfId="144" priority="350">
      <formula>AND($C81&lt;&gt;"※選択してください",$F81="")</formula>
    </cfRule>
  </conditionalFormatting>
  <conditionalFormatting sqref="F84">
    <cfRule type="expression" dxfId="143" priority="348">
      <formula>AND($C84&lt;&gt;"※選択してください",$F84="")</formula>
    </cfRule>
  </conditionalFormatting>
  <conditionalFormatting sqref="F87">
    <cfRule type="expression" dxfId="142" priority="346">
      <formula>AND($C87&lt;&gt;"※選択してください",$F87="")</formula>
    </cfRule>
  </conditionalFormatting>
  <conditionalFormatting sqref="F90">
    <cfRule type="expression" dxfId="141" priority="344">
      <formula>AND($C90&lt;&gt;"※選択してください",$F90="")</formula>
    </cfRule>
  </conditionalFormatting>
  <conditionalFormatting sqref="F18:G53">
    <cfRule type="expression" dxfId="140" priority="552">
      <formula>CELL("protect",F18)=1</formula>
    </cfRule>
  </conditionalFormatting>
  <conditionalFormatting sqref="G18">
    <cfRule type="expression" dxfId="139" priority="396">
      <formula>AND($C18&lt;&gt;"※選択してください",$G18="")</formula>
    </cfRule>
  </conditionalFormatting>
  <conditionalFormatting sqref="G21">
    <cfRule type="expression" dxfId="138" priority="388">
      <formula>AND($C21&lt;&gt;"※選択してください",$G21="")</formula>
    </cfRule>
  </conditionalFormatting>
  <conditionalFormatting sqref="G24">
    <cfRule type="expression" dxfId="137" priority="386">
      <formula>AND($C24&lt;&gt;"※選択してください",$G24="")</formula>
    </cfRule>
  </conditionalFormatting>
  <conditionalFormatting sqref="G27">
    <cfRule type="expression" dxfId="136" priority="384">
      <formula>AND($C27&lt;&gt;"※選択してください",$G27="")</formula>
    </cfRule>
  </conditionalFormatting>
  <conditionalFormatting sqref="G30">
    <cfRule type="expression" dxfId="135" priority="382">
      <formula>AND($C30&lt;&gt;"※選択してください",$G30="")</formula>
    </cfRule>
  </conditionalFormatting>
  <conditionalFormatting sqref="G33">
    <cfRule type="expression" dxfId="134" priority="380">
      <formula>AND($C33&lt;&gt;"※選択してください",$G33="")</formula>
    </cfRule>
  </conditionalFormatting>
  <conditionalFormatting sqref="G36">
    <cfRule type="expression" dxfId="133" priority="378">
      <formula>AND($C36&lt;&gt;"※選択してください",$G36="")</formula>
    </cfRule>
  </conditionalFormatting>
  <conditionalFormatting sqref="G39">
    <cfRule type="expression" dxfId="132" priority="376">
      <formula>AND($C39&lt;&gt;"※選択してください",$G39="")</formula>
    </cfRule>
  </conditionalFormatting>
  <conditionalFormatting sqref="G42">
    <cfRule type="expression" dxfId="131" priority="374">
      <formula>AND($C42&lt;&gt;"※選択してください",$G42="")</formula>
    </cfRule>
  </conditionalFormatting>
  <conditionalFormatting sqref="G45">
    <cfRule type="expression" dxfId="130" priority="372">
      <formula>AND($C45&lt;&gt;"※選択してください",$G45="")</formula>
    </cfRule>
  </conditionalFormatting>
  <conditionalFormatting sqref="G48">
    <cfRule type="expression" dxfId="129" priority="370">
      <formula>AND($C48&lt;&gt;"※選択してください",$G48="")</formula>
    </cfRule>
  </conditionalFormatting>
  <conditionalFormatting sqref="G51">
    <cfRule type="expression" dxfId="128" priority="79">
      <formula>AND($C51&lt;&gt;"※選択してください",$G51="")</formula>
    </cfRule>
  </conditionalFormatting>
  <conditionalFormatting sqref="G54">
    <cfRule type="expression" dxfId="127" priority="367">
      <formula>AND($C54&lt;&gt;"※選択してください",$G54="")</formula>
    </cfRule>
  </conditionalFormatting>
  <conditionalFormatting sqref="G57">
    <cfRule type="expression" dxfId="126" priority="365">
      <formula>AND($C57&lt;&gt;"※選択してください",$G57="")</formula>
    </cfRule>
  </conditionalFormatting>
  <conditionalFormatting sqref="G60">
    <cfRule type="expression" dxfId="125" priority="363">
      <formula>AND($C60&lt;&gt;"※選択してください",$G60="")</formula>
    </cfRule>
  </conditionalFormatting>
  <conditionalFormatting sqref="G63">
    <cfRule type="expression" dxfId="124" priority="361">
      <formula>AND($C63&lt;&gt;"※選択してください",$G63="")</formula>
    </cfRule>
  </conditionalFormatting>
  <conditionalFormatting sqref="G66">
    <cfRule type="expression" dxfId="123" priority="359">
      <formula>AND($C66&lt;&gt;"※選択してください",$G66="")</formula>
    </cfRule>
  </conditionalFormatting>
  <conditionalFormatting sqref="G69">
    <cfRule type="expression" dxfId="122" priority="357">
      <formula>AND($C69&lt;&gt;"※選択してください",$G69="")</formula>
    </cfRule>
  </conditionalFormatting>
  <conditionalFormatting sqref="G72">
    <cfRule type="expression" dxfId="121" priority="355">
      <formula>AND($C72&lt;&gt;"※選択してください",$G72="")</formula>
    </cfRule>
  </conditionalFormatting>
  <conditionalFormatting sqref="G75">
    <cfRule type="expression" dxfId="120" priority="353">
      <formula>AND($C75&lt;&gt;"※選択してください",$G75="")</formula>
    </cfRule>
  </conditionalFormatting>
  <conditionalFormatting sqref="G78">
    <cfRule type="expression" dxfId="119" priority="351">
      <formula>AND($C78&lt;&gt;"※選択してください",$G78="")</formula>
    </cfRule>
  </conditionalFormatting>
  <conditionalFormatting sqref="G81">
    <cfRule type="expression" dxfId="118" priority="349">
      <formula>AND($C81&lt;&gt;"※選択してください",$G81="")</formula>
    </cfRule>
  </conditionalFormatting>
  <conditionalFormatting sqref="G84">
    <cfRule type="expression" dxfId="117" priority="347">
      <formula>AND($C84&lt;&gt;"※選択してください",$G84="")</formula>
    </cfRule>
  </conditionalFormatting>
  <conditionalFormatting sqref="G87">
    <cfRule type="expression" dxfId="116" priority="345">
      <formula>AND($C87&lt;&gt;"※選択してください",$G87="")</formula>
    </cfRule>
  </conditionalFormatting>
  <conditionalFormatting sqref="G90">
    <cfRule type="expression" dxfId="115" priority="343">
      <formula>AND($C90&lt;&gt;"※選択してください",$G90="")</formula>
    </cfRule>
  </conditionalFormatting>
  <conditionalFormatting sqref="J18:K18">
    <cfRule type="expression" dxfId="114" priority="550">
      <formula>AND($C18="※選択してください",$J18="(渡航経路を記入)")</formula>
    </cfRule>
    <cfRule type="expression" dxfId="113" priority="493">
      <formula>AND(OR($C18&lt;&gt;"※選択してください",$F18&lt;&gt;""),OR($J18="(渡航経路を記入)",$K18=""))</formula>
    </cfRule>
  </conditionalFormatting>
  <conditionalFormatting sqref="J21:K21">
    <cfRule type="expression" dxfId="112" priority="220">
      <formula>AND(OR($C21&lt;&gt;"※選択してください",$F21&lt;&gt;""),OR($J21="(渡航経路を記入)",$K21=""))</formula>
    </cfRule>
    <cfRule type="expression" dxfId="111" priority="221">
      <formula>AND($C21="※選択してください",$J21="(渡航経路を記入)")</formula>
    </cfRule>
  </conditionalFormatting>
  <conditionalFormatting sqref="J24:K24">
    <cfRule type="expression" dxfId="110" priority="219">
      <formula>AND($C24="※選択してください",$J24="(渡航経路を記入)")</formula>
    </cfRule>
    <cfRule type="expression" dxfId="109" priority="218">
      <formula>AND(OR($C24&lt;&gt;"※選択してください",$F24&lt;&gt;""),OR($J24="(渡航経路を記入)",$K24=""))</formula>
    </cfRule>
  </conditionalFormatting>
  <conditionalFormatting sqref="J27:K27">
    <cfRule type="expression" dxfId="108" priority="216">
      <formula>AND(OR($C27&lt;&gt;"※選択してください",$F27&lt;&gt;""),OR($J27="(渡航経路を記入)",$K27=""))</formula>
    </cfRule>
    <cfRule type="expression" dxfId="107" priority="217">
      <formula>AND($C27="※選択してください",$J27="(渡航経路を記入)")</formula>
    </cfRule>
  </conditionalFormatting>
  <conditionalFormatting sqref="J30:K30">
    <cfRule type="expression" dxfId="106" priority="215">
      <formula>AND($C30="※選択してください",$J30="(渡航経路を記入)")</formula>
    </cfRule>
    <cfRule type="expression" dxfId="105" priority="214">
      <formula>AND(OR($C30&lt;&gt;"※選択してください",$F30&lt;&gt;""),OR($J30="(渡航経路を記入)",$K30=""))</formula>
    </cfRule>
  </conditionalFormatting>
  <conditionalFormatting sqref="J33:K33">
    <cfRule type="expression" dxfId="104" priority="212">
      <formula>AND(OR($C33&lt;&gt;"※選択してください",$F33&lt;&gt;""),OR($J33="(渡航経路を記入)",$K33=""))</formula>
    </cfRule>
    <cfRule type="expression" dxfId="103" priority="213">
      <formula>AND($C33="※選択してください",$J33="(渡航経路を記入)")</formula>
    </cfRule>
  </conditionalFormatting>
  <conditionalFormatting sqref="J36:K36">
    <cfRule type="expression" dxfId="102" priority="211">
      <formula>AND($C36="※選択してください",$J36="(渡航経路を記入)")</formula>
    </cfRule>
    <cfRule type="expression" dxfId="101" priority="210">
      <formula>AND(OR($C36&lt;&gt;"※選択してください",$F36&lt;&gt;""),OR($J36="(渡航経路を記入)",$K36=""))</formula>
    </cfRule>
  </conditionalFormatting>
  <conditionalFormatting sqref="J39:K39">
    <cfRule type="expression" dxfId="100" priority="208">
      <formula>AND(OR($C39&lt;&gt;"※選択してください",$F39&lt;&gt;""),OR($J39="(渡航経路を記入)",$K39=""))</formula>
    </cfRule>
    <cfRule type="expression" dxfId="99" priority="209">
      <formula>AND($C39="※選択してください",$J39="(渡航経路を記入)")</formula>
    </cfRule>
  </conditionalFormatting>
  <conditionalFormatting sqref="J42:K42">
    <cfRule type="expression" dxfId="98" priority="206">
      <formula>AND(OR($C42&lt;&gt;"※選択してください",$F42&lt;&gt;""),OR($J42="(渡航経路を記入)",$K42=""))</formula>
    </cfRule>
    <cfRule type="expression" dxfId="97" priority="207">
      <formula>AND($C42="※選択してください",$J42="(渡航経路を記入)")</formula>
    </cfRule>
  </conditionalFormatting>
  <conditionalFormatting sqref="J45:K45">
    <cfRule type="expression" dxfId="96" priority="204">
      <formula>AND(OR($C45&lt;&gt;"※選択してください",$F45&lt;&gt;""),OR($J45="(渡航経路を記入)",$K45=""))</formula>
    </cfRule>
    <cfRule type="expression" dxfId="95" priority="205">
      <formula>AND($C45="※選択してください",$J45="(渡航経路を記入)")</formula>
    </cfRule>
  </conditionalFormatting>
  <conditionalFormatting sqref="J48:K48">
    <cfRule type="expression" dxfId="94" priority="203">
      <formula>AND($C48="※選択してください",$J48="(渡航経路を記入)")</formula>
    </cfRule>
    <cfRule type="expression" dxfId="93" priority="202">
      <formula>AND(OR($C48&lt;&gt;"※選択してください",$F48&lt;&gt;""),OR($J48="(渡航経路を記入)",$K48=""))</formula>
    </cfRule>
  </conditionalFormatting>
  <conditionalFormatting sqref="J51:K51">
    <cfRule type="expression" dxfId="92" priority="198">
      <formula>AND(OR($C51&lt;&gt;"※選択してください",$F51&lt;&gt;""),OR($J51="(渡航経路を記入)",$K51=""))</formula>
    </cfRule>
    <cfRule type="expression" dxfId="91" priority="199">
      <formula>AND($C51="※選択してください",$J51="(渡航経路を記入)")</formula>
    </cfRule>
  </conditionalFormatting>
  <conditionalFormatting sqref="J54:K54">
    <cfRule type="expression" dxfId="90" priority="196">
      <formula>AND(OR($C54&lt;&gt;"※選択してください",$F54&lt;&gt;""),OR($J54="(渡航経路を記入)",$K54=""))</formula>
    </cfRule>
    <cfRule type="expression" dxfId="89" priority="197">
      <formula>AND($C54="※選択してください",$J54="(渡航経路を記入)")</formula>
    </cfRule>
  </conditionalFormatting>
  <conditionalFormatting sqref="J57:K57">
    <cfRule type="expression" dxfId="88" priority="195">
      <formula>AND($C57="※選択してください",$J57="(渡航経路を記入)")</formula>
    </cfRule>
    <cfRule type="expression" dxfId="87" priority="194">
      <formula>AND(OR($C57&lt;&gt;"※選択してください",$F57&lt;&gt;""),OR($J57="(渡航経路を記入)",$K57=""))</formula>
    </cfRule>
  </conditionalFormatting>
  <conditionalFormatting sqref="J60:K60">
    <cfRule type="expression" dxfId="86" priority="192">
      <formula>AND(OR($C60&lt;&gt;"※選択してください",$F60&lt;&gt;""),OR($J60="(渡航経路を記入)",$K60=""))</formula>
    </cfRule>
    <cfRule type="expression" dxfId="85" priority="193">
      <formula>AND($C60="※選択してください",$J60="(渡航経路を記入)")</formula>
    </cfRule>
  </conditionalFormatting>
  <conditionalFormatting sqref="J63:K63">
    <cfRule type="expression" dxfId="84" priority="190">
      <formula>AND(OR($C63&lt;&gt;"※選択してください",$F63&lt;&gt;""),OR($J63="(渡航経路を記入)",$K63=""))</formula>
    </cfRule>
    <cfRule type="expression" dxfId="83" priority="191">
      <formula>AND($C63="※選択してください",$J63="(渡航経路を記入)")</formula>
    </cfRule>
  </conditionalFormatting>
  <conditionalFormatting sqref="J66:K66">
    <cfRule type="expression" dxfId="82" priority="188">
      <formula>AND(OR($C66&lt;&gt;"※選択してください",$F66&lt;&gt;""),OR($J66="(渡航経路を記入)",$K66=""))</formula>
    </cfRule>
    <cfRule type="expression" dxfId="81" priority="189">
      <formula>AND($C66="※選択してください",$J66="(渡航経路を記入)")</formula>
    </cfRule>
  </conditionalFormatting>
  <conditionalFormatting sqref="J69:K69">
    <cfRule type="expression" dxfId="80" priority="187">
      <formula>AND($C69="※選択してください",$J69="(渡航経路を記入)")</formula>
    </cfRule>
    <cfRule type="expression" dxfId="79" priority="186">
      <formula>AND(OR($C69&lt;&gt;"※選択してください",$F69&lt;&gt;""),OR($J69="(渡航経路を記入)",$K69=""))</formula>
    </cfRule>
  </conditionalFormatting>
  <conditionalFormatting sqref="J72:K72">
    <cfRule type="expression" dxfId="78" priority="184">
      <formula>AND(OR($C72&lt;&gt;"※選択してください",$F72&lt;&gt;""),OR($J72="(渡航経路を記入)",$K72=""))</formula>
    </cfRule>
    <cfRule type="expression" dxfId="77" priority="185">
      <formula>AND($C72="※選択してください",$J72="(渡航経路を記入)")</formula>
    </cfRule>
  </conditionalFormatting>
  <conditionalFormatting sqref="J75:K75">
    <cfRule type="expression" dxfId="76" priority="183">
      <formula>AND($C75="※選択してください",$J75="(渡航経路を記入)")</formula>
    </cfRule>
    <cfRule type="expression" dxfId="75" priority="182">
      <formula>AND(OR($C75&lt;&gt;"※選択してください",$F75&lt;&gt;""),OR($J75="(渡航経路を記入)",$K75=""))</formula>
    </cfRule>
  </conditionalFormatting>
  <conditionalFormatting sqref="J78:K78">
    <cfRule type="expression" dxfId="74" priority="180">
      <formula>AND(OR($C78&lt;&gt;"※選択してください",$F78&lt;&gt;""),OR($J78="(渡航経路を記入)",$K78=""))</formula>
    </cfRule>
    <cfRule type="expression" dxfId="73" priority="181">
      <formula>AND($C78="※選択してください",$J78="(渡航経路を記入)")</formula>
    </cfRule>
  </conditionalFormatting>
  <conditionalFormatting sqref="J81:K81">
    <cfRule type="expression" dxfId="72" priority="179">
      <formula>AND($C81="※選択してください",$J81="(渡航経路を記入)")</formula>
    </cfRule>
    <cfRule type="expression" dxfId="71" priority="178">
      <formula>AND(OR($C81&lt;&gt;"※選択してください",$F81&lt;&gt;""),OR($J81="(渡航経路を記入)",$K81=""))</formula>
    </cfRule>
  </conditionalFormatting>
  <conditionalFormatting sqref="J84:K84">
    <cfRule type="expression" dxfId="70" priority="176">
      <formula>AND(OR($C84&lt;&gt;"※選択してください",$F84&lt;&gt;""),OR($J84="(渡航経路を記入)",$K84=""))</formula>
    </cfRule>
    <cfRule type="expression" dxfId="69" priority="177">
      <formula>AND($C84="※選択してください",$J84="(渡航経路を記入)")</formula>
    </cfRule>
  </conditionalFormatting>
  <conditionalFormatting sqref="J87:K87">
    <cfRule type="expression" dxfId="68" priority="174">
      <formula>AND(OR($C87&lt;&gt;"※選択してください",$F87&lt;&gt;""),OR($J87="(渡航経路を記入)",$K87=""))</formula>
    </cfRule>
    <cfRule type="expression" dxfId="67" priority="175">
      <formula>AND($C87="※選択してください",$J87="(渡航経路を記入)")</formula>
    </cfRule>
  </conditionalFormatting>
  <conditionalFormatting sqref="J90:K90">
    <cfRule type="expression" dxfId="66" priority="173">
      <formula>AND($C90="※選択してください",$J90="(渡航経路を記入)")</formula>
    </cfRule>
    <cfRule type="expression" dxfId="65" priority="172">
      <formula>AND(OR($C90&lt;&gt;"※選択してください",$F90&lt;&gt;""),OR($J90="(渡航経路を記入)",$K90=""))</formula>
    </cfRule>
  </conditionalFormatting>
  <dataValidations count="6">
    <dataValidation imeMode="off" allowBlank="1" showInputMessage="1" showErrorMessage="1" sqref="F81 F87 F90 F78 F84 F75 F72 F69 F66 F63 F60 F57 F54" xr:uid="{9A678321-D610-494A-9B87-8F418602F1CE}"/>
    <dataValidation type="whole" imeMode="disabled" operator="lessThanOrEqual" allowBlank="1" showInputMessage="1" showErrorMessage="1" errorTitle="上限を超えています。" error="15,000円以下の金額で再入力してください。" sqref="F19 F22 F25 F28 F31 F34 F37 F40 F43 F46 F49 F52 F55 F58 F61 F64 F67 F70 F73 F76 F79 F82 F85 F88 F91" xr:uid="{29133827-C4BF-45FE-B7B2-D80696D59D9D}">
      <formula1>15000</formula1>
    </dataValidation>
    <dataValidation imeMode="disabled" allowBlank="1" showInputMessage="1" showErrorMessage="1" sqref="G18:G92" xr:uid="{4E81B122-93DB-4610-8950-6719B4259B34}"/>
    <dataValidation type="whole" imeMode="disabled" operator="lessThanOrEqual" allowBlank="1" showInputMessage="1" showErrorMessage="1" errorTitle="上限を超えています。" error="3,000円以下の金額で再入力してください。" sqref="F20 F23 F26 F29 F32 F35 F38 F41 F44 F47 F50 F53 F56 F59 F62 F65 F68 F71 F74 F77 F80 F83 F86 F89 F92" xr:uid="{973111BC-77F0-4161-873C-B9FEC5C75F68}">
      <formula1>3000</formula1>
    </dataValidation>
    <dataValidation type="list" errorStyle="information" showInputMessage="1" showErrorMessage="1" errorTitle="直接入力" error="リストにない国を入力しています。_x000a_間違いがないか確認してください。" sqref="C54:D92" xr:uid="{A3F8F1BB-3E31-48AD-8965-3876740DA476}">
      <formula1>INDIRECT("隠しシート!$C$205:c"&amp;230-COUNTBLANK(送出し国リスト))</formula1>
    </dataValidation>
    <dataValidation type="list" errorStyle="information" showInputMessage="1" showErrorMessage="1" errorTitle="直接入力" error="リストにない国を入力しています。_x000a_間違いがないか確認してください。" sqref="C18:D53" xr:uid="{D0460C56-2FDE-46B1-A231-7D6626A4B80D}">
      <formula1>INDIRECT("隠しシート!$ｃ$155:ｃ"&amp;180-COUNTBLANK(送出し国リスト))</formula1>
    </dataValidation>
  </dataValidations>
  <printOptions horizontalCentered="1"/>
  <pageMargins left="0.39370078740157483" right="0.39370078740157483" top="0.39370078740157483" bottom="0.39370078740157483" header="0.19685039370078741" footer="0.19685039370078741"/>
  <pageSetup paperSize="9" scale="83" fitToHeight="0" orientation="landscape" r:id="rId1"/>
  <headerFooter>
    <oddHeader>&amp;C&amp;9&amp;F</oddHeader>
    <oddFooter>&amp;C&amp;P/&amp;N</oddFooter>
  </headerFooter>
  <drawing r:id="rId2"/>
  <extLst>
    <ext xmlns:x14="http://schemas.microsoft.com/office/spreadsheetml/2009/9/main" uri="{78C0D931-6437-407d-A8EE-F0AAD7539E65}">
      <x14:conditionalFormattings>
        <x14:conditionalFormatting xmlns:xm="http://schemas.microsoft.com/office/excel/2006/main">
          <x14:cfRule type="expression" priority="24" id="{D5753D93-B1A5-4EB7-8A74-FB09DDBFAF14}">
            <xm:f>F18&gt;VLOOKUP(C18,隠しシート!$C$4:$D$151,2,FALSE)</xm:f>
            <x14:dxf>
              <font>
                <b/>
                <i val="0"/>
                <color theme="0"/>
              </font>
              <fill>
                <patternFill patternType="solid">
                  <bgColor rgb="FFFF0000"/>
                </patternFill>
              </fill>
            </x14:dxf>
          </x14:cfRule>
          <xm:sqref>F18</xm:sqref>
        </x14:conditionalFormatting>
        <x14:conditionalFormatting xmlns:xm="http://schemas.microsoft.com/office/excel/2006/main">
          <x14:cfRule type="expression" priority="22" id="{54191351-CDBF-4E5C-ACD9-52EED5EC1B4E}">
            <xm:f>F21&gt;VLOOKUP(C21,隠しシート!$C$4:$D$151,2,FALSE)</xm:f>
            <x14:dxf>
              <font>
                <b/>
                <i val="0"/>
                <color theme="0"/>
              </font>
              <fill>
                <patternFill patternType="solid">
                  <bgColor rgb="FFFF0000"/>
                </patternFill>
              </fill>
            </x14:dxf>
          </x14:cfRule>
          <xm:sqref>F21</xm:sqref>
        </x14:conditionalFormatting>
        <x14:conditionalFormatting xmlns:xm="http://schemas.microsoft.com/office/excel/2006/main">
          <x14:cfRule type="expression" priority="20" id="{65D70E20-7334-413E-B131-63150EBAA324}">
            <xm:f>F24&gt;VLOOKUP(C24,隠しシート!$C$4:$D$151,2,FALSE)</xm:f>
            <x14:dxf>
              <font>
                <b/>
                <i val="0"/>
                <color theme="0"/>
              </font>
              <fill>
                <patternFill patternType="solid">
                  <bgColor rgb="FFFF0000"/>
                </patternFill>
              </fill>
            </x14:dxf>
          </x14:cfRule>
          <xm:sqref>F24</xm:sqref>
        </x14:conditionalFormatting>
        <x14:conditionalFormatting xmlns:xm="http://schemas.microsoft.com/office/excel/2006/main">
          <x14:cfRule type="expression" priority="18" id="{FADA53A4-2D85-4F06-8BD1-A3C7988102DF}">
            <xm:f>F27&gt;VLOOKUP(C27,隠しシート!$C$4:$D$151,2,FALSE)</xm:f>
            <x14:dxf>
              <font>
                <b/>
                <i val="0"/>
                <color theme="0"/>
              </font>
              <fill>
                <patternFill patternType="solid">
                  <bgColor rgb="FFFF0000"/>
                </patternFill>
              </fill>
            </x14:dxf>
          </x14:cfRule>
          <xm:sqref>F27</xm:sqref>
        </x14:conditionalFormatting>
        <x14:conditionalFormatting xmlns:xm="http://schemas.microsoft.com/office/excel/2006/main">
          <x14:cfRule type="expression" priority="16" id="{1B1ACCCD-A217-4FBB-9439-F442DCB4F6B5}">
            <xm:f>F30&gt;VLOOKUP(C30,隠しシート!$C$4:$D$151,2,FALSE)</xm:f>
            <x14:dxf>
              <font>
                <b/>
                <i val="0"/>
                <color theme="0"/>
              </font>
              <fill>
                <patternFill patternType="solid">
                  <bgColor rgb="FFFF0000"/>
                </patternFill>
              </fill>
            </x14:dxf>
          </x14:cfRule>
          <xm:sqref>F30</xm:sqref>
        </x14:conditionalFormatting>
        <x14:conditionalFormatting xmlns:xm="http://schemas.microsoft.com/office/excel/2006/main">
          <x14:cfRule type="expression" priority="14" id="{800264C5-C70D-4D69-A5FD-9D20399B92DD}">
            <xm:f>F33&gt;VLOOKUP(C33,隠しシート!$C$4:$D$151,2,FALSE)</xm:f>
            <x14:dxf>
              <font>
                <b/>
                <i val="0"/>
                <color theme="0"/>
              </font>
              <fill>
                <patternFill patternType="solid">
                  <bgColor rgb="FFFF0000"/>
                </patternFill>
              </fill>
            </x14:dxf>
          </x14:cfRule>
          <xm:sqref>F33</xm:sqref>
        </x14:conditionalFormatting>
        <x14:conditionalFormatting xmlns:xm="http://schemas.microsoft.com/office/excel/2006/main">
          <x14:cfRule type="expression" priority="12" id="{D4B590EF-D1BB-407B-A90D-A57A4B778255}">
            <xm:f>F36&gt;VLOOKUP(C36,隠しシート!$C$4:$D$151,2,FALSE)</xm:f>
            <x14:dxf>
              <font>
                <b/>
                <i val="0"/>
                <color theme="0"/>
              </font>
              <fill>
                <patternFill patternType="solid">
                  <bgColor rgb="FFFF0000"/>
                </patternFill>
              </fill>
            </x14:dxf>
          </x14:cfRule>
          <xm:sqref>F36</xm:sqref>
        </x14:conditionalFormatting>
        <x14:conditionalFormatting xmlns:xm="http://schemas.microsoft.com/office/excel/2006/main">
          <x14:cfRule type="expression" priority="10" id="{4FBF892A-9573-4DED-8F25-21E1A5D069B5}">
            <xm:f>F39&gt;VLOOKUP(C39,隠しシート!$C$4:$D$151,2,FALSE)</xm:f>
            <x14:dxf>
              <font>
                <b/>
                <i val="0"/>
                <color theme="0"/>
              </font>
              <fill>
                <patternFill patternType="solid">
                  <bgColor rgb="FFFF0000"/>
                </patternFill>
              </fill>
            </x14:dxf>
          </x14:cfRule>
          <xm:sqref>F39</xm:sqref>
        </x14:conditionalFormatting>
        <x14:conditionalFormatting xmlns:xm="http://schemas.microsoft.com/office/excel/2006/main">
          <x14:cfRule type="expression" priority="8" id="{448A6D37-BFC8-41CD-97B4-1B8E7BF6AC8D}">
            <xm:f>F42&gt;VLOOKUP(C42,隠しシート!$C$4:$D$151,2,FALSE)</xm:f>
            <x14:dxf>
              <font>
                <b/>
                <i val="0"/>
                <color theme="0"/>
              </font>
              <fill>
                <patternFill patternType="solid">
                  <bgColor rgb="FFFF0000"/>
                </patternFill>
              </fill>
            </x14:dxf>
          </x14:cfRule>
          <xm:sqref>F42</xm:sqref>
        </x14:conditionalFormatting>
        <x14:conditionalFormatting xmlns:xm="http://schemas.microsoft.com/office/excel/2006/main">
          <x14:cfRule type="expression" priority="6" id="{D49CBB64-BF58-4D72-8AF7-5B933D40535D}">
            <xm:f>F45&gt;VLOOKUP(C45,隠しシート!$C$4:$D$151,2,FALSE)</xm:f>
            <x14:dxf>
              <font>
                <b/>
                <i val="0"/>
                <color theme="0"/>
              </font>
              <fill>
                <patternFill patternType="solid">
                  <bgColor rgb="FFFF0000"/>
                </patternFill>
              </fill>
            </x14:dxf>
          </x14:cfRule>
          <xm:sqref>F45</xm:sqref>
        </x14:conditionalFormatting>
        <x14:conditionalFormatting xmlns:xm="http://schemas.microsoft.com/office/excel/2006/main">
          <x14:cfRule type="expression" priority="4" id="{CB768155-9504-4318-95EA-0F28FEE1D108}">
            <xm:f>F48&gt;VLOOKUP(C48,隠しシート!$C$4:$D$151,2,FALSE)</xm:f>
            <x14:dxf>
              <font>
                <b/>
                <i val="0"/>
                <color theme="0"/>
              </font>
              <fill>
                <patternFill patternType="solid">
                  <bgColor rgb="FFFF0000"/>
                </patternFill>
              </fill>
            </x14:dxf>
          </x14:cfRule>
          <xm:sqref>F48</xm:sqref>
        </x14:conditionalFormatting>
        <x14:conditionalFormatting xmlns:xm="http://schemas.microsoft.com/office/excel/2006/main">
          <x14:cfRule type="expression" priority="2" id="{4AFB024A-CB20-4FF4-B6F8-6F6A612A3CE4}">
            <xm:f>F51&gt;VLOOKUP(C51,隠しシート!$C$4:$D$151,2,FALSE)</xm:f>
            <x14:dxf>
              <font>
                <b/>
                <i val="0"/>
                <color theme="0"/>
              </font>
              <fill>
                <patternFill patternType="solid">
                  <bgColor rgb="FFFF0000"/>
                </patternFill>
              </fill>
            </x14:dxf>
          </x14:cfRule>
          <xm:sqref>F51</xm:sqref>
        </x14:conditionalFormatting>
      </x14:conditionalFormattings>
    </ext>
    <ext xmlns:x14="http://schemas.microsoft.com/office/spreadsheetml/2009/9/main" uri="{CCE6A557-97BC-4b89-ADB6-D9C93CAAB3DF}">
      <x14:dataValidations xmlns:xm="http://schemas.microsoft.com/office/excel/2006/main" count="1">
        <x14:dataValidation type="custom" errorStyle="warning" imeMode="off" allowBlank="1" showInputMessage="1" showErrorMessage="1" error="計上できる上限を超えています。修正してください。" xr:uid="{B84C3214-644C-4DF4-8550-54000A5B056A}">
          <x14:formula1>
            <xm:f>F18&lt;=VLOOKUP(C18,隠しシート!$C$4:$D$151,2,FALSE)</xm:f>
          </x14:formula1>
          <xm:sqref>F48 F45 F42 F39 F36 F33 F30 F27 F24 F21 F18 F51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907D2B-3585-4BF6-837A-27709546A804}">
  <sheetPr codeName="Sheet7">
    <pageSetUpPr fitToPage="1"/>
  </sheetPr>
  <dimension ref="A1:AG50"/>
  <sheetViews>
    <sheetView showGridLines="0" zoomScaleNormal="100" zoomScaleSheetLayoutView="100" workbookViewId="0"/>
  </sheetViews>
  <sheetFormatPr defaultColWidth="0" defaultRowHeight="15.75"/>
  <cols>
    <col min="1" max="1" width="3" style="324" customWidth="1"/>
    <col min="2" max="2" width="7" style="324" customWidth="1"/>
    <col min="3" max="3" width="7.21875" style="324" customWidth="1"/>
    <col min="4" max="4" width="3.77734375" style="324" customWidth="1"/>
    <col min="5" max="5" width="8.33203125" style="324" customWidth="1"/>
    <col min="6" max="6" width="10.6640625" style="324" customWidth="1"/>
    <col min="7" max="7" width="7.6640625" style="324" customWidth="1"/>
    <col min="8" max="8" width="4.88671875" style="324" customWidth="1"/>
    <col min="9" max="9" width="6" style="324" customWidth="1"/>
    <col min="10" max="13" width="9.6640625" style="324" customWidth="1"/>
    <col min="14" max="14" width="0.33203125" style="324" customWidth="1"/>
    <col min="15" max="15" width="33.6640625" style="324" customWidth="1"/>
    <col min="16" max="16" width="1" style="324" customWidth="1"/>
    <col min="17" max="17" width="0.88671875" style="324" customWidth="1"/>
    <col min="18" max="18" width="2.77734375" style="324" customWidth="1"/>
    <col min="19" max="19" width="4.6640625" style="324" customWidth="1"/>
    <col min="20" max="20" width="2.6640625" style="324" customWidth="1"/>
    <col min="21" max="21" width="3.109375" style="324" customWidth="1"/>
    <col min="22" max="23" width="6.88671875" style="324" customWidth="1"/>
    <col min="24" max="24" width="5.88671875" style="324" customWidth="1"/>
    <col min="25" max="25" width="5.33203125" style="324" customWidth="1"/>
    <col min="26" max="26" width="2.6640625" style="324" customWidth="1"/>
    <col min="27" max="27" width="7.5546875" style="324" customWidth="1"/>
    <col min="28" max="28" width="5.77734375" style="324" customWidth="1"/>
    <col min="29" max="29" width="8.44140625" style="324" customWidth="1"/>
    <col min="30" max="30" width="7.21875" style="324" customWidth="1"/>
    <col min="31" max="31" width="8" style="324" customWidth="1"/>
    <col min="32" max="32" width="9.88671875" style="324" customWidth="1"/>
    <col min="33" max="33" width="1.109375" style="324" customWidth="1"/>
    <col min="34" max="16384" width="9.109375" style="324" hidden="1"/>
  </cols>
  <sheetData>
    <row r="1" spans="1:33" customFormat="1">
      <c r="A1" s="39"/>
      <c r="O1" s="33" t="str">
        <f>'1)受入れ機関概要'!G1</f>
        <v>Ver.2501</v>
      </c>
      <c r="Q1" s="324"/>
      <c r="R1" s="744" t="s">
        <v>550</v>
      </c>
      <c r="S1" s="744"/>
      <c r="T1" s="744"/>
      <c r="U1" s="744"/>
      <c r="V1" s="744"/>
      <c r="W1" s="744"/>
      <c r="X1" s="744"/>
      <c r="Y1" s="324"/>
      <c r="Z1" s="324"/>
      <c r="AA1" s="324"/>
      <c r="AB1" s="324"/>
      <c r="AC1" s="324"/>
      <c r="AD1" s="324"/>
      <c r="AE1" s="324"/>
      <c r="AF1" s="324"/>
      <c r="AG1" s="324"/>
    </row>
    <row r="2" spans="1:33" customFormat="1" ht="18" customHeight="1">
      <c r="A2" s="891" t="s">
        <v>161</v>
      </c>
      <c r="B2" s="891"/>
      <c r="C2" s="891"/>
      <c r="D2" s="891"/>
      <c r="E2" s="891"/>
      <c r="F2" s="891"/>
      <c r="G2" s="891"/>
      <c r="H2" s="891"/>
      <c r="I2" s="891"/>
      <c r="J2" s="891"/>
      <c r="K2" s="891"/>
      <c r="L2" s="891"/>
      <c r="M2" s="891"/>
      <c r="N2" s="891"/>
      <c r="O2" s="891"/>
      <c r="Q2" s="324"/>
      <c r="R2" s="324"/>
      <c r="S2" s="324"/>
      <c r="T2" s="324"/>
      <c r="U2" s="324"/>
      <c r="V2" s="324"/>
      <c r="W2" s="324"/>
      <c r="X2" s="324"/>
      <c r="Y2" s="324"/>
      <c r="Z2" s="324"/>
      <c r="AA2" s="324"/>
      <c r="AB2" s="324"/>
      <c r="AC2" s="324"/>
      <c r="AD2" s="324"/>
      <c r="AE2" s="324"/>
      <c r="AF2" s="324"/>
      <c r="AG2" s="324"/>
    </row>
    <row r="3" spans="1:33" customFormat="1" ht="9" customHeight="1">
      <c r="Q3" s="324"/>
      <c r="R3" s="324"/>
      <c r="S3" s="324"/>
      <c r="T3" s="324"/>
      <c r="U3" s="324"/>
      <c r="V3" s="324"/>
      <c r="W3" s="324"/>
      <c r="X3" s="324"/>
      <c r="Y3" s="324"/>
      <c r="Z3" s="324"/>
      <c r="AA3" s="324"/>
      <c r="AB3" s="324"/>
      <c r="AC3" s="324"/>
      <c r="AD3" s="324"/>
      <c r="AE3" s="324"/>
      <c r="AF3" s="324"/>
      <c r="AG3" s="324"/>
    </row>
    <row r="4" spans="1:33" s="2" customFormat="1" ht="24.95" customHeight="1" thickBot="1">
      <c r="A4" s="937" t="s">
        <v>56</v>
      </c>
      <c r="B4" s="937"/>
      <c r="C4" s="877" t="s">
        <v>26</v>
      </c>
      <c r="D4" s="878"/>
      <c r="E4" s="878"/>
      <c r="F4" s="938"/>
      <c r="G4" s="61" t="s">
        <v>57</v>
      </c>
      <c r="H4" s="64" t="s">
        <v>58</v>
      </c>
      <c r="I4" s="64" t="s">
        <v>59</v>
      </c>
      <c r="J4" s="64" t="s">
        <v>60</v>
      </c>
      <c r="K4" s="64" t="s">
        <v>36</v>
      </c>
      <c r="L4" s="65" t="s">
        <v>62</v>
      </c>
      <c r="M4" s="66" t="s">
        <v>37</v>
      </c>
      <c r="N4" s="61"/>
      <c r="O4" s="67" t="s">
        <v>256</v>
      </c>
      <c r="Q4" s="378"/>
      <c r="R4" s="1057" t="s">
        <v>644</v>
      </c>
      <c r="S4" s="1057"/>
      <c r="T4" s="1057"/>
      <c r="U4" s="1057"/>
      <c r="V4" s="1057"/>
      <c r="W4" s="1057"/>
      <c r="X4" s="1057"/>
      <c r="Y4" s="1057"/>
      <c r="Z4" s="378"/>
      <c r="AA4" s="378"/>
      <c r="AB4" s="378"/>
      <c r="AC4" s="378"/>
      <c r="AD4" s="378"/>
      <c r="AE4" s="378"/>
      <c r="AF4" s="378"/>
      <c r="AG4" s="378"/>
    </row>
    <row r="5" spans="1:33" customFormat="1" ht="21" customHeight="1">
      <c r="A5" s="953" t="s">
        <v>38</v>
      </c>
      <c r="B5" s="955" t="s">
        <v>561</v>
      </c>
      <c r="C5" s="939" t="s">
        <v>31</v>
      </c>
      <c r="D5" s="924"/>
      <c r="E5" s="924"/>
      <c r="F5" s="940"/>
      <c r="G5" s="941"/>
      <c r="H5" s="942"/>
      <c r="I5" s="943"/>
      <c r="J5" s="313">
        <f>'7)経費概算見積書（渡航費内訳）'!I18+'7)経費概算見積書（渡航費内訳）'!I21+'7)経費概算見積書（渡航費内訳）'!I24+'7)経費概算見積書（渡航費内訳）'!I27+'7)経費概算見積書（渡航費内訳）'!I30+'7)経費概算見積書（渡航費内訳）'!I33+'7)経費概算見積書（渡航費内訳）'!I36+'7)経費概算見積書（渡航費内訳）'!I39+'7)経費概算見積書（渡航費内訳）'!I42+'7)経費概算見積書（渡航費内訳）'!I45+'7)経費概算見積書（渡航費内訳）'!I48+'7)経費概算見積書（渡航費内訳）'!I51+'7)経費概算見積書（渡航費内訳）'!I54+'7)経費概算見積書（渡航費内訳）'!I57+'7)経費概算見積書（渡航費内訳）'!I60+'7)経費概算見積書（渡航費内訳）'!I63+'7)経費概算見積書（渡航費内訳）'!I66+'7)経費概算見積書（渡航費内訳）'!I69+'7)経費概算見積書（渡航費内訳）'!I72+'7)経費概算見積書（渡航費内訳）'!I75+'7)経費概算見積書（渡航費内訳）'!I78+'7)経費概算見積書（渡航費内訳）'!I81+'7)経費概算見積書（渡航費内訳）'!I84+'7)経費概算見積書（渡航費内訳）'!I87+'7)経費概算見積書（渡航費内訳）'!I90</f>
        <v>0</v>
      </c>
      <c r="K5" s="314">
        <f t="shared" ref="K5:K15" si="0">J5-M5</f>
        <v>0</v>
      </c>
      <c r="L5" s="920">
        <f>SUM(K5:K7)</f>
        <v>0</v>
      </c>
      <c r="M5" s="162"/>
      <c r="N5" s="947" t="s">
        <v>84</v>
      </c>
      <c r="O5" s="948"/>
      <c r="Q5" s="324"/>
      <c r="R5" s="1057"/>
      <c r="S5" s="1057"/>
      <c r="T5" s="1057"/>
      <c r="U5" s="1057"/>
      <c r="V5" s="1057"/>
      <c r="W5" s="1057"/>
      <c r="X5" s="1057"/>
      <c r="Y5" s="1057"/>
      <c r="Z5" s="324"/>
      <c r="AA5" s="324"/>
      <c r="AB5" s="324"/>
      <c r="AC5" s="324"/>
      <c r="AD5" s="324"/>
      <c r="AE5" s="324"/>
      <c r="AF5" s="324"/>
      <c r="AG5" s="324"/>
    </row>
    <row r="6" spans="1:33" customFormat="1" ht="21" customHeight="1">
      <c r="A6" s="954"/>
      <c r="B6" s="956"/>
      <c r="C6" s="918" t="s">
        <v>32</v>
      </c>
      <c r="D6" s="919"/>
      <c r="E6" s="919"/>
      <c r="F6" s="936"/>
      <c r="G6" s="944"/>
      <c r="H6" s="945"/>
      <c r="I6" s="946"/>
      <c r="J6" s="252">
        <f>'7)経費概算見積書（渡航費内訳）'!I19+'7)経費概算見積書（渡航費内訳）'!I22+'7)経費概算見積書（渡航費内訳）'!I25+'7)経費概算見積書（渡航費内訳）'!I28+'7)経費概算見積書（渡航費内訳）'!I31+'7)経費概算見積書（渡航費内訳）'!I34+'7)経費概算見積書（渡航費内訳）'!I37+'7)経費概算見積書（渡航費内訳）'!I40+'7)経費概算見積書（渡航費内訳）'!I43+'7)経費概算見積書（渡航費内訳）'!I46+'7)経費概算見積書（渡航費内訳）'!I49+'7)経費概算見積書（渡航費内訳）'!I52+'7)経費概算見積書（渡航費内訳）'!I55+'7)経費概算見積書（渡航費内訳）'!I58+'7)経費概算見積書（渡航費内訳）'!I61+'7)経費概算見積書（渡航費内訳）'!I64+'7)経費概算見積書（渡航費内訳）'!I67+'7)経費概算見積書（渡航費内訳）'!I70+'7)経費概算見積書（渡航費内訳）'!I73+'7)経費概算見積書（渡航費内訳）'!I76+'7)経費概算見積書（渡航費内訳）'!I79+'7)経費概算見積書（渡航費内訳）'!I82+'7)経費概算見積書（渡航費内訳）'!I85+'7)経費概算見積書（渡航費内訳）'!I88+'7)経費概算見積書（渡航費内訳）'!I91</f>
        <v>0</v>
      </c>
      <c r="K6" s="252">
        <f t="shared" si="0"/>
        <v>0</v>
      </c>
      <c r="L6" s="921"/>
      <c r="M6" s="163"/>
      <c r="N6" s="949"/>
      <c r="O6" s="950"/>
      <c r="Q6" s="324"/>
      <c r="R6" s="1057"/>
      <c r="S6" s="1057"/>
      <c r="T6" s="1057"/>
      <c r="U6" s="1057"/>
      <c r="V6" s="1057"/>
      <c r="W6" s="1057"/>
      <c r="X6" s="1057"/>
      <c r="Y6" s="1057"/>
      <c r="Z6" s="324"/>
      <c r="AA6" s="324"/>
      <c r="AB6" s="324"/>
      <c r="AC6" s="324"/>
      <c r="AD6" s="324"/>
      <c r="AE6" s="324"/>
      <c r="AF6" s="324"/>
      <c r="AG6" s="324"/>
    </row>
    <row r="7" spans="1:33" customFormat="1" ht="21" customHeight="1" thickBot="1">
      <c r="A7" s="954"/>
      <c r="B7" s="957"/>
      <c r="C7" s="933" t="s">
        <v>33</v>
      </c>
      <c r="D7" s="934"/>
      <c r="E7" s="934"/>
      <c r="F7" s="935"/>
      <c r="G7" s="944"/>
      <c r="H7" s="945"/>
      <c r="I7" s="946"/>
      <c r="J7" s="315">
        <f>'7)経費概算見積書（渡航費内訳）'!I20+'7)経費概算見積書（渡航費内訳）'!I23+'7)経費概算見積書（渡航費内訳）'!I26+'7)経費概算見積書（渡航費内訳）'!I29+'7)経費概算見積書（渡航費内訳）'!I32+'7)経費概算見積書（渡航費内訳）'!I35+'7)経費概算見積書（渡航費内訳）'!I38+'7)経費概算見積書（渡航費内訳）'!I41+'7)経費概算見積書（渡航費内訳）'!I44+'7)経費概算見積書（渡航費内訳）'!I47+'7)経費概算見積書（渡航費内訳）'!I50+'7)経費概算見積書（渡航費内訳）'!I53+'7)経費概算見積書（渡航費内訳）'!I56+'7)経費概算見積書（渡航費内訳）'!I59+'7)経費概算見積書（渡航費内訳）'!I62+'7)経費概算見積書（渡航費内訳）'!I65+'7)経費概算見積書（渡航費内訳）'!I68+'7)経費概算見積書（渡航費内訳）'!I71+'7)経費概算見積書（渡航費内訳）'!I74+'7)経費概算見積書（渡航費内訳）'!I77+'7)経費概算見積書（渡航費内訳）'!I80+'7)経費概算見積書（渡航費内訳）'!I83+'7)経費概算見積書（渡航費内訳）'!I86+'7)経費概算見積書（渡航費内訳）'!I89+'7)経費概算見積書（渡航費内訳）'!I92</f>
        <v>0</v>
      </c>
      <c r="K7" s="315">
        <f t="shared" si="0"/>
        <v>0</v>
      </c>
      <c r="L7" s="922"/>
      <c r="M7" s="164"/>
      <c r="N7" s="951"/>
      <c r="O7" s="952"/>
      <c r="Q7" s="324"/>
      <c r="R7" s="1057"/>
      <c r="S7" s="1057"/>
      <c r="T7" s="1057"/>
      <c r="U7" s="1057"/>
      <c r="V7" s="1057"/>
      <c r="W7" s="1057"/>
      <c r="X7" s="1057"/>
      <c r="Y7" s="1057"/>
      <c r="Z7" s="324"/>
      <c r="AA7" s="324"/>
      <c r="AB7" s="324"/>
      <c r="AC7" s="324"/>
      <c r="AD7" s="324"/>
      <c r="AE7" s="324"/>
      <c r="AF7" s="324"/>
      <c r="AG7" s="324"/>
    </row>
    <row r="8" spans="1:33" customFormat="1" ht="21" customHeight="1">
      <c r="A8" s="954"/>
      <c r="B8" s="961" t="s">
        <v>39</v>
      </c>
      <c r="C8" s="910" t="s">
        <v>220</v>
      </c>
      <c r="D8" s="923" t="s">
        <v>219</v>
      </c>
      <c r="E8" s="924"/>
      <c r="F8" s="925"/>
      <c r="G8" s="152"/>
      <c r="H8" s="153"/>
      <c r="I8" s="310" t="str">
        <f>IF(H8=1,"式","人×日")</f>
        <v>人×日</v>
      </c>
      <c r="J8" s="316">
        <f t="shared" ref="J8:J13" si="1">G8*H8</f>
        <v>0</v>
      </c>
      <c r="K8" s="316">
        <f t="shared" si="0"/>
        <v>0</v>
      </c>
      <c r="L8" s="920">
        <f>SUM(K8:K13)</f>
        <v>0</v>
      </c>
      <c r="M8" s="165"/>
      <c r="N8" s="177" t="str">
        <f>IF(G8=0,"",IF(O8&lt;&gt;"","","(経路、利用日を記入)"))</f>
        <v/>
      </c>
      <c r="O8" s="180"/>
      <c r="Q8" s="324"/>
      <c r="R8" s="1057"/>
      <c r="S8" s="1057"/>
      <c r="T8" s="1057"/>
      <c r="U8" s="1057"/>
      <c r="V8" s="1057"/>
      <c r="W8" s="1057"/>
      <c r="X8" s="1057"/>
      <c r="Y8" s="1057"/>
      <c r="Z8" s="324"/>
      <c r="AA8" s="324"/>
      <c r="AB8" s="324"/>
      <c r="AC8" s="324"/>
      <c r="AD8" s="324"/>
      <c r="AE8" s="324"/>
      <c r="AF8" s="324"/>
      <c r="AG8" s="324"/>
    </row>
    <row r="9" spans="1:33" customFormat="1" ht="21" customHeight="1">
      <c r="A9" s="954"/>
      <c r="B9" s="956"/>
      <c r="C9" s="911"/>
      <c r="D9" s="926" t="s">
        <v>222</v>
      </c>
      <c r="E9" s="927"/>
      <c r="F9" s="125" t="s">
        <v>71</v>
      </c>
      <c r="G9" s="154"/>
      <c r="H9" s="155"/>
      <c r="I9" s="308" t="s">
        <v>61</v>
      </c>
      <c r="J9" s="252">
        <f t="shared" si="1"/>
        <v>0</v>
      </c>
      <c r="K9" s="252">
        <f t="shared" si="0"/>
        <v>0</v>
      </c>
      <c r="L9" s="921"/>
      <c r="M9" s="163"/>
      <c r="N9" s="177" t="str">
        <f>IF(G9=0,"",IF(O9&lt;&gt;"","","(利用日を記入)"))</f>
        <v/>
      </c>
      <c r="O9" s="138"/>
      <c r="Q9" s="324"/>
      <c r="R9" s="1057"/>
      <c r="S9" s="1057"/>
      <c r="T9" s="1057"/>
      <c r="U9" s="1057"/>
      <c r="V9" s="1057"/>
      <c r="W9" s="1057"/>
      <c r="X9" s="1057"/>
      <c r="Y9" s="1057"/>
      <c r="Z9" s="324"/>
      <c r="AA9" s="324"/>
      <c r="AB9" s="324"/>
      <c r="AC9" s="324"/>
      <c r="AD9" s="324"/>
      <c r="AE9" s="324"/>
      <c r="AF9" s="324"/>
      <c r="AG9" s="324"/>
    </row>
    <row r="10" spans="1:33" customFormat="1" ht="21" customHeight="1">
      <c r="A10" s="954"/>
      <c r="B10" s="956"/>
      <c r="C10" s="912"/>
      <c r="D10" s="928"/>
      <c r="E10" s="929"/>
      <c r="F10" s="147" t="s">
        <v>72</v>
      </c>
      <c r="G10" s="156"/>
      <c r="H10" s="157"/>
      <c r="I10" s="309" t="s">
        <v>46</v>
      </c>
      <c r="J10" s="315">
        <f t="shared" si="1"/>
        <v>0</v>
      </c>
      <c r="K10" s="315">
        <f t="shared" si="0"/>
        <v>0</v>
      </c>
      <c r="L10" s="921"/>
      <c r="M10" s="166"/>
      <c r="N10" s="179" t="str">
        <f>IF(G10=0,"",IF(O10&lt;&gt;"","","(利用日を記入)"))</f>
        <v/>
      </c>
      <c r="O10" s="139"/>
      <c r="Q10" s="324"/>
      <c r="R10" s="1057"/>
      <c r="S10" s="1057"/>
      <c r="T10" s="1057"/>
      <c r="U10" s="1057"/>
      <c r="V10" s="1057"/>
      <c r="W10" s="1057"/>
      <c r="X10" s="1057"/>
      <c r="Y10" s="1057"/>
      <c r="Z10" s="324"/>
      <c r="AA10" s="324"/>
      <c r="AB10" s="324"/>
      <c r="AC10" s="324"/>
      <c r="AD10" s="324"/>
      <c r="AE10" s="324"/>
      <c r="AF10" s="324"/>
      <c r="AG10" s="324"/>
    </row>
    <row r="11" spans="1:33" customFormat="1" ht="21" customHeight="1">
      <c r="A11" s="954"/>
      <c r="B11" s="956"/>
      <c r="C11" s="126" t="s">
        <v>221</v>
      </c>
      <c r="D11" s="930" t="s">
        <v>219</v>
      </c>
      <c r="E11" s="931"/>
      <c r="F11" s="932"/>
      <c r="G11" s="158"/>
      <c r="H11" s="159"/>
      <c r="I11" s="312" t="str">
        <f>IF(H11=1,"式","人×日")</f>
        <v>人×日</v>
      </c>
      <c r="J11" s="316">
        <f t="shared" si="1"/>
        <v>0</v>
      </c>
      <c r="K11" s="316">
        <f t="shared" si="0"/>
        <v>0</v>
      </c>
      <c r="L11" s="921"/>
      <c r="M11" s="167"/>
      <c r="N11" s="177" t="str">
        <f>IF(G11=0,"",IF(O11&lt;&gt;"","","(経路、利用日を記入)"))</f>
        <v/>
      </c>
      <c r="O11" s="137"/>
      <c r="Q11" s="324"/>
      <c r="R11" s="1057"/>
      <c r="S11" s="1057"/>
      <c r="T11" s="1057"/>
      <c r="U11" s="1057"/>
      <c r="V11" s="1057"/>
      <c r="W11" s="1057"/>
      <c r="X11" s="1057"/>
      <c r="Y11" s="1057"/>
      <c r="Z11" s="324"/>
      <c r="AA11" s="324"/>
      <c r="AB11" s="324"/>
      <c r="AC11" s="324"/>
      <c r="AD11" s="324"/>
      <c r="AE11" s="324"/>
      <c r="AF11" s="324"/>
      <c r="AG11" s="324"/>
    </row>
    <row r="12" spans="1:33" customFormat="1" ht="21" customHeight="1">
      <c r="A12" s="954"/>
      <c r="B12" s="956"/>
      <c r="C12" s="913" t="s">
        <v>264</v>
      </c>
      <c r="D12" s="926" t="s">
        <v>222</v>
      </c>
      <c r="E12" s="927"/>
      <c r="F12" s="125" t="s">
        <v>71</v>
      </c>
      <c r="G12" s="154"/>
      <c r="H12" s="155"/>
      <c r="I12" s="308" t="s">
        <v>61</v>
      </c>
      <c r="J12" s="252">
        <f t="shared" si="1"/>
        <v>0</v>
      </c>
      <c r="K12" s="252">
        <f t="shared" si="0"/>
        <v>0</v>
      </c>
      <c r="L12" s="921"/>
      <c r="M12" s="163"/>
      <c r="N12" s="177" t="str">
        <f>IF(G12=0,"",IF(O12&lt;&gt;"","","(利用日を記入)"))</f>
        <v/>
      </c>
      <c r="O12" s="138"/>
      <c r="Q12" s="379"/>
      <c r="R12" s="1057"/>
      <c r="S12" s="1057"/>
      <c r="T12" s="1057"/>
      <c r="U12" s="1057"/>
      <c r="V12" s="1057"/>
      <c r="W12" s="1057"/>
      <c r="X12" s="1057"/>
      <c r="Y12" s="1057"/>
      <c r="Z12" s="324"/>
      <c r="AA12" s="324"/>
      <c r="AB12" s="324"/>
      <c r="AC12" s="324"/>
      <c r="AD12" s="324"/>
      <c r="AE12" s="324"/>
      <c r="AF12" s="324"/>
      <c r="AG12" s="324"/>
    </row>
    <row r="13" spans="1:33" customFormat="1" ht="21" customHeight="1">
      <c r="A13" s="954"/>
      <c r="B13" s="957"/>
      <c r="C13" s="914"/>
      <c r="D13" s="928"/>
      <c r="E13" s="929"/>
      <c r="F13" s="147" t="s">
        <v>72</v>
      </c>
      <c r="G13" s="156"/>
      <c r="H13" s="157"/>
      <c r="I13" s="309" t="s">
        <v>46</v>
      </c>
      <c r="J13" s="315">
        <f t="shared" si="1"/>
        <v>0</v>
      </c>
      <c r="K13" s="315">
        <f t="shared" si="0"/>
        <v>0</v>
      </c>
      <c r="L13" s="922"/>
      <c r="M13" s="164"/>
      <c r="N13" s="179" t="str">
        <f>IF(G13=0,"",IF(O13&lt;&gt;"","","(利用日を記入)"))</f>
        <v/>
      </c>
      <c r="O13" s="139"/>
      <c r="Q13" s="324"/>
      <c r="R13" s="1057"/>
      <c r="S13" s="1057"/>
      <c r="T13" s="1057"/>
      <c r="U13" s="1057"/>
      <c r="V13" s="1057"/>
      <c r="W13" s="1057"/>
      <c r="X13" s="1057"/>
      <c r="Y13" s="1057"/>
      <c r="Z13" s="324"/>
      <c r="AA13" s="324"/>
      <c r="AB13" s="324"/>
      <c r="AC13" s="324"/>
      <c r="AD13" s="324"/>
      <c r="AE13" s="324"/>
      <c r="AF13" s="324"/>
      <c r="AG13" s="324"/>
    </row>
    <row r="14" spans="1:33" customFormat="1" ht="21" customHeight="1">
      <c r="A14" s="954"/>
      <c r="B14" s="962" t="s">
        <v>560</v>
      </c>
      <c r="C14" s="27" t="s">
        <v>50</v>
      </c>
      <c r="D14" s="916" t="s">
        <v>263</v>
      </c>
      <c r="E14" s="916"/>
      <c r="F14" s="917"/>
      <c r="G14" s="160"/>
      <c r="H14" s="161"/>
      <c r="I14" s="310" t="s">
        <v>47</v>
      </c>
      <c r="J14" s="304">
        <f t="shared" ref="J14:J15" si="2">G14*H14</f>
        <v>0</v>
      </c>
      <c r="K14" s="314">
        <f t="shared" si="0"/>
        <v>0</v>
      </c>
      <c r="L14" s="920">
        <f>SUM(K14:K18)</f>
        <v>0</v>
      </c>
      <c r="M14" s="165"/>
      <c r="N14" s="177" t="str">
        <f>IF(G14=0,"",IF(O14&lt;&gt;"","","(訪問先、利用日を記入)"))</f>
        <v/>
      </c>
      <c r="O14" s="233"/>
      <c r="Q14" s="324"/>
      <c r="R14" s="1057"/>
      <c r="S14" s="1057"/>
      <c r="T14" s="1057"/>
      <c r="U14" s="1057"/>
      <c r="V14" s="1057"/>
      <c r="W14" s="1057"/>
      <c r="X14" s="1057"/>
      <c r="Y14" s="1057"/>
      <c r="Z14" s="324"/>
      <c r="AA14" s="324"/>
      <c r="AB14" s="324"/>
      <c r="AC14" s="324"/>
      <c r="AD14" s="324"/>
      <c r="AE14" s="324"/>
      <c r="AF14" s="324"/>
      <c r="AG14" s="324"/>
    </row>
    <row r="15" spans="1:33" customFormat="1" ht="21" customHeight="1">
      <c r="A15" s="954"/>
      <c r="B15" s="963"/>
      <c r="C15" s="918" t="s">
        <v>172</v>
      </c>
      <c r="D15" s="919"/>
      <c r="E15" s="915" t="str">
        <f>"＊開催は1回のみ、3,000円/人以下
＊招へい者"&amp;K28&amp;"名＋協力者"&amp;K28&amp;"名まで"</f>
        <v>＊開催は1回のみ、3,000円/人以下
＊招へい者0名＋協力者0名まで</v>
      </c>
      <c r="F15" s="915"/>
      <c r="G15" s="186"/>
      <c r="H15" s="155"/>
      <c r="I15" s="308" t="s">
        <v>49</v>
      </c>
      <c r="J15" s="303">
        <f t="shared" si="2"/>
        <v>0</v>
      </c>
      <c r="K15" s="303">
        <f t="shared" si="0"/>
        <v>0</v>
      </c>
      <c r="L15" s="921"/>
      <c r="M15" s="163"/>
      <c r="N15" s="177" t="str">
        <f>IF(G15=0,"",IF(O15&lt;&gt;"","","(利用日を記入)"))</f>
        <v/>
      </c>
      <c r="O15" s="232"/>
      <c r="P15" s="383"/>
      <c r="Q15" s="380"/>
      <c r="R15" s="1057"/>
      <c r="S15" s="1057"/>
      <c r="T15" s="1057"/>
      <c r="U15" s="1057"/>
      <c r="V15" s="1057"/>
      <c r="W15" s="1057"/>
      <c r="X15" s="1057"/>
      <c r="Y15" s="1057"/>
      <c r="Z15" s="324"/>
      <c r="AA15" s="324"/>
      <c r="AB15" s="324"/>
      <c r="AC15" s="324"/>
      <c r="AD15" s="324"/>
      <c r="AE15" s="324"/>
      <c r="AF15" s="324"/>
      <c r="AG15" s="324"/>
    </row>
    <row r="16" spans="1:33" customFormat="1" ht="15" customHeight="1">
      <c r="A16" s="954"/>
      <c r="B16" s="963"/>
      <c r="C16" s="965" t="s">
        <v>528</v>
      </c>
      <c r="D16" s="966"/>
      <c r="E16" s="967"/>
      <c r="F16" s="198" t="s">
        <v>257</v>
      </c>
      <c r="G16" s="974"/>
      <c r="H16" s="960" t="s">
        <v>102</v>
      </c>
      <c r="I16" s="1007" t="s">
        <v>101</v>
      </c>
      <c r="J16" s="1003">
        <f>G16+G18</f>
        <v>0</v>
      </c>
      <c r="K16" s="1004">
        <f>J16-M16</f>
        <v>0</v>
      </c>
      <c r="L16" s="921"/>
      <c r="M16" s="1009"/>
      <c r="N16" s="182"/>
      <c r="O16" s="1001"/>
      <c r="P16" s="383"/>
      <c r="Q16" s="380"/>
      <c r="R16" s="1057"/>
      <c r="S16" s="1057"/>
      <c r="T16" s="1057"/>
      <c r="U16" s="1057"/>
      <c r="V16" s="1057"/>
      <c r="W16" s="1057"/>
      <c r="X16" s="1057"/>
      <c r="Y16" s="1057"/>
      <c r="Z16" s="324"/>
      <c r="AA16" s="324"/>
      <c r="AB16" s="324"/>
      <c r="AC16" s="324"/>
      <c r="AD16" s="324"/>
      <c r="AE16" s="324"/>
      <c r="AF16" s="324"/>
      <c r="AG16" s="324"/>
    </row>
    <row r="17" spans="1:33" customFormat="1" ht="15" customHeight="1">
      <c r="A17" s="954"/>
      <c r="B17" s="963"/>
      <c r="C17" s="968"/>
      <c r="D17" s="969"/>
      <c r="E17" s="970"/>
      <c r="F17" s="200" t="str">
        <f>IF('8)招へい者リスト'!S1="A","＊Aコース:20,000円まで",IF('8)招へい者リスト'!S1="B","＊Bコース:50,000円まで",IF('8)招へい者リスト'!S1="C","＊Cコース:50,000円まで","")))</f>
        <v/>
      </c>
      <c r="G17" s="975"/>
      <c r="H17" s="960"/>
      <c r="I17" s="1008"/>
      <c r="J17" s="958"/>
      <c r="K17" s="1005"/>
      <c r="L17" s="921"/>
      <c r="M17" s="1010"/>
      <c r="N17" s="177"/>
      <c r="O17" s="1002"/>
      <c r="P17" s="383"/>
      <c r="Q17" s="380"/>
      <c r="R17" s="1057"/>
      <c r="S17" s="1057"/>
      <c r="T17" s="1057"/>
      <c r="U17" s="1057"/>
      <c r="V17" s="1057"/>
      <c r="W17" s="1057"/>
      <c r="X17" s="1057"/>
      <c r="Y17" s="1057"/>
      <c r="Z17" s="324"/>
      <c r="AA17" s="324"/>
      <c r="AB17" s="324"/>
      <c r="AC17" s="324"/>
      <c r="AD17" s="324"/>
      <c r="AE17" s="324"/>
      <c r="AF17" s="324"/>
      <c r="AG17" s="324"/>
    </row>
    <row r="18" spans="1:33" customFormat="1" ht="21" customHeight="1">
      <c r="A18" s="954"/>
      <c r="B18" s="964"/>
      <c r="C18" s="971"/>
      <c r="D18" s="972"/>
      <c r="E18" s="973"/>
      <c r="F18" s="199" t="s">
        <v>258</v>
      </c>
      <c r="G18" s="210"/>
      <c r="H18" s="317" t="s">
        <v>102</v>
      </c>
      <c r="I18" s="311" t="s">
        <v>251</v>
      </c>
      <c r="J18" s="959"/>
      <c r="K18" s="1006"/>
      <c r="L18" s="922"/>
      <c r="M18" s="203"/>
      <c r="N18" s="181"/>
      <c r="O18" s="185" t="str">
        <f>IF(G18&lt;&gt;0,"※詳細は「追加費用明細書」に記載。","")</f>
        <v/>
      </c>
      <c r="P18" s="384"/>
      <c r="Q18" s="381"/>
      <c r="R18" s="1057"/>
      <c r="S18" s="1057"/>
      <c r="T18" s="1057"/>
      <c r="U18" s="1057"/>
      <c r="V18" s="1057"/>
      <c r="W18" s="1057"/>
      <c r="X18" s="1057"/>
      <c r="Y18" s="1057"/>
      <c r="Z18" s="324"/>
      <c r="AA18" s="324"/>
      <c r="AB18" s="324"/>
      <c r="AC18" s="324"/>
      <c r="AD18" s="324"/>
      <c r="AE18" s="324"/>
      <c r="AF18" s="324"/>
      <c r="AG18" s="324"/>
    </row>
    <row r="19" spans="1:33" customFormat="1" ht="21" customHeight="1">
      <c r="A19" s="954"/>
      <c r="B19" s="1028" t="s">
        <v>40</v>
      </c>
      <c r="C19" s="124" t="s">
        <v>41</v>
      </c>
      <c r="D19" s="1030" t="s">
        <v>240</v>
      </c>
      <c r="E19" s="1030"/>
      <c r="F19" s="1031"/>
      <c r="G19" s="158"/>
      <c r="H19" s="159"/>
      <c r="I19" s="312" t="s">
        <v>46</v>
      </c>
      <c r="J19" s="316">
        <f>G19*H19</f>
        <v>0</v>
      </c>
      <c r="K19" s="316">
        <f>J19-M19</f>
        <v>0</v>
      </c>
      <c r="L19" s="958">
        <f>SUM(K19:K22)</f>
        <v>0</v>
      </c>
      <c r="M19" s="165"/>
      <c r="N19" s="177" t="str">
        <f>IF(G19=0,"",IF(O19&lt;&gt;"","","(利用日、人数を記入)"))</f>
        <v/>
      </c>
      <c r="O19" s="184"/>
      <c r="P19" s="384"/>
      <c r="Q19" s="381"/>
      <c r="R19" s="1057"/>
      <c r="S19" s="1057"/>
      <c r="T19" s="1057"/>
      <c r="U19" s="1057"/>
      <c r="V19" s="1057"/>
      <c r="W19" s="1057"/>
      <c r="X19" s="1057"/>
      <c r="Y19" s="1057"/>
      <c r="Z19" s="324"/>
      <c r="AA19" s="324"/>
      <c r="AB19" s="324"/>
      <c r="AC19" s="324"/>
      <c r="AD19" s="324"/>
      <c r="AE19" s="324"/>
      <c r="AF19" s="324"/>
      <c r="AG19" s="324"/>
    </row>
    <row r="20" spans="1:33" customFormat="1" ht="21" customHeight="1">
      <c r="A20" s="954"/>
      <c r="B20" s="1029"/>
      <c r="C20" s="918" t="s">
        <v>42</v>
      </c>
      <c r="D20" s="919"/>
      <c r="E20" s="919"/>
      <c r="F20" s="1032"/>
      <c r="G20" s="154"/>
      <c r="H20" s="155"/>
      <c r="I20" s="308" t="s">
        <v>47</v>
      </c>
      <c r="J20" s="316">
        <f t="shared" ref="J20:J22" si="3">G20*H20</f>
        <v>0</v>
      </c>
      <c r="K20" s="252">
        <f t="shared" ref="K20:K22" si="4">J20-M20</f>
        <v>0</v>
      </c>
      <c r="L20" s="958"/>
      <c r="M20" s="163"/>
      <c r="N20" s="177" t="str">
        <f>IF(G20=0,"",IF(O20&lt;&gt;"","","(利用日、人数を記入)"))</f>
        <v/>
      </c>
      <c r="O20" s="138"/>
      <c r="Q20" s="324"/>
      <c r="R20" s="1057"/>
      <c r="S20" s="1057"/>
      <c r="T20" s="1057"/>
      <c r="U20" s="1057"/>
      <c r="V20" s="1057"/>
      <c r="W20" s="1057"/>
      <c r="X20" s="1057"/>
      <c r="Y20" s="1057"/>
      <c r="Z20" s="324"/>
      <c r="AA20" s="324"/>
      <c r="AB20" s="324"/>
      <c r="AC20" s="324"/>
      <c r="AD20" s="324"/>
      <c r="AE20" s="324"/>
      <c r="AF20" s="324"/>
      <c r="AG20" s="324"/>
    </row>
    <row r="21" spans="1:33" customFormat="1" ht="21" customHeight="1">
      <c r="A21" s="954"/>
      <c r="B21" s="1029"/>
      <c r="C21" s="1013" t="s">
        <v>55</v>
      </c>
      <c r="D21" s="1014"/>
      <c r="E21" s="915" t="str">
        <f>"＊単価は1,700円/人×時間以下
＊"&amp;'1)受入れ機関概要'!G8&amp;"日×3人×"&amp;"8h="&amp;SUMPRODUCT('1)受入れ機関概要'!G8,3,8)&amp;" まで計上可能"</f>
        <v>＊単価は1,700円/人×時間以下
＊日×3人×8h=0 まで計上可能</v>
      </c>
      <c r="F21" s="915"/>
      <c r="G21" s="154"/>
      <c r="H21" s="155"/>
      <c r="I21" s="308" t="s">
        <v>48</v>
      </c>
      <c r="J21" s="316">
        <f t="shared" si="3"/>
        <v>0</v>
      </c>
      <c r="K21" s="252">
        <f t="shared" si="4"/>
        <v>0</v>
      </c>
      <c r="L21" s="958"/>
      <c r="M21" s="163"/>
      <c r="N21" s="177" t="str">
        <f>IF(G21=0,"",IF(O21&lt;&gt;"","","(利用日・時間・人数を記入)"))</f>
        <v/>
      </c>
      <c r="O21" s="138"/>
      <c r="Q21" s="324"/>
      <c r="R21" s="1057"/>
      <c r="S21" s="1057"/>
      <c r="T21" s="1057"/>
      <c r="U21" s="1057"/>
      <c r="V21" s="1057"/>
      <c r="W21" s="1057"/>
      <c r="X21" s="1057"/>
      <c r="Y21" s="1057"/>
      <c r="Z21" s="324"/>
      <c r="AA21" s="324"/>
      <c r="AB21" s="324"/>
      <c r="AC21" s="324"/>
      <c r="AD21" s="324"/>
      <c r="AE21" s="324"/>
      <c r="AF21" s="324"/>
      <c r="AG21" s="324"/>
    </row>
    <row r="22" spans="1:33" customFormat="1" ht="21" customHeight="1" thickBot="1">
      <c r="A22" s="954"/>
      <c r="B22" s="908"/>
      <c r="C22" s="1011" t="s">
        <v>43</v>
      </c>
      <c r="D22" s="1012"/>
      <c r="E22" s="934"/>
      <c r="F22" s="934"/>
      <c r="G22" s="306"/>
      <c r="H22" s="307"/>
      <c r="I22" s="309" t="s">
        <v>61</v>
      </c>
      <c r="J22" s="316">
        <f t="shared" si="3"/>
        <v>0</v>
      </c>
      <c r="K22" s="303">
        <f t="shared" si="4"/>
        <v>0</v>
      </c>
      <c r="L22" s="959"/>
      <c r="M22" s="168"/>
      <c r="N22" s="179" t="str">
        <f>IF(G22=0,"",IF(O22&lt;&gt;"","","(利用日、人数を記入)"))</f>
        <v/>
      </c>
      <c r="O22" s="138"/>
      <c r="Q22" s="324"/>
      <c r="R22" s="1057"/>
      <c r="S22" s="1057"/>
      <c r="T22" s="1057"/>
      <c r="U22" s="1057"/>
      <c r="V22" s="1057"/>
      <c r="W22" s="1057"/>
      <c r="X22" s="1057"/>
      <c r="Y22" s="1057"/>
      <c r="Z22" s="324"/>
      <c r="AA22" s="324"/>
      <c r="AB22" s="324"/>
      <c r="AC22" s="324"/>
      <c r="AD22" s="324"/>
      <c r="AE22" s="324"/>
      <c r="AF22" s="324"/>
      <c r="AG22" s="324"/>
    </row>
    <row r="23" spans="1:33" customFormat="1" ht="24" customHeight="1" thickBot="1">
      <c r="A23" s="954"/>
      <c r="B23" s="693" t="s">
        <v>533</v>
      </c>
      <c r="C23" s="694"/>
      <c r="D23" s="694"/>
      <c r="E23" s="694"/>
      <c r="F23" s="694"/>
      <c r="G23" s="1033"/>
      <c r="H23" s="1034"/>
      <c r="I23" s="1035"/>
      <c r="J23" s="318">
        <f>K23</f>
        <v>0</v>
      </c>
      <c r="K23" s="169"/>
      <c r="L23" s="319">
        <f>K23</f>
        <v>0</v>
      </c>
      <c r="M23" s="1046"/>
      <c r="N23" s="178" t="str">
        <f>IF(K23=0,"",IF(O23&lt;&gt;"","","(「渡航費及びTA謝金」など該当する項目を記入)"))</f>
        <v/>
      </c>
      <c r="O23" s="140"/>
      <c r="Q23" s="324"/>
      <c r="R23" s="1057"/>
      <c r="S23" s="1057"/>
      <c r="T23" s="1057"/>
      <c r="U23" s="1057"/>
      <c r="V23" s="1057"/>
      <c r="W23" s="1057"/>
      <c r="X23" s="1057"/>
      <c r="Y23" s="1057"/>
      <c r="Z23" s="324"/>
      <c r="AA23" s="324"/>
      <c r="AB23" s="324"/>
      <c r="AC23" s="324"/>
      <c r="AD23" s="324"/>
      <c r="AE23" s="324"/>
      <c r="AF23" s="324"/>
      <c r="AG23" s="324"/>
    </row>
    <row r="24" spans="1:33" customFormat="1" ht="24" customHeight="1" thickBot="1">
      <c r="A24" s="1023" t="s">
        <v>44</v>
      </c>
      <c r="B24" s="1024"/>
      <c r="C24" s="1024"/>
      <c r="D24" s="1024"/>
      <c r="E24" s="1024"/>
      <c r="F24" s="1025"/>
      <c r="G24" s="1033"/>
      <c r="H24" s="1034"/>
      <c r="I24" s="1035"/>
      <c r="J24" s="320"/>
      <c r="K24" s="321">
        <f>SUM(K5:K23)</f>
        <v>0</v>
      </c>
      <c r="L24" s="320"/>
      <c r="M24" s="1046"/>
      <c r="N24" s="18"/>
      <c r="O24" s="251"/>
      <c r="Q24" s="324"/>
      <c r="R24" s="324"/>
      <c r="S24" s="324"/>
      <c r="T24" s="324"/>
      <c r="U24" s="324"/>
      <c r="V24" s="324"/>
      <c r="W24" s="324"/>
      <c r="X24" s="324"/>
      <c r="Y24" s="324"/>
      <c r="Z24" s="324"/>
      <c r="AA24" s="324"/>
      <c r="AB24" s="324"/>
      <c r="AC24" s="324"/>
      <c r="AD24" s="324"/>
      <c r="AE24" s="324"/>
      <c r="AF24" s="324"/>
      <c r="AG24" s="324"/>
    </row>
    <row r="25" spans="1:33" customFormat="1" ht="24" customHeight="1" thickBot="1">
      <c r="A25" s="1026" t="s">
        <v>270</v>
      </c>
      <c r="B25" s="1027"/>
      <c r="C25" s="1027"/>
      <c r="D25" s="1027"/>
      <c r="E25" s="1027"/>
      <c r="F25" s="1027"/>
      <c r="G25" s="1033"/>
      <c r="H25" s="1034"/>
      <c r="I25" s="1035"/>
      <c r="J25" s="318">
        <f>K25</f>
        <v>0</v>
      </c>
      <c r="K25" s="169">
        <v>0</v>
      </c>
      <c r="L25" s="319">
        <f>K25</f>
        <v>0</v>
      </c>
      <c r="M25" s="1047"/>
      <c r="N25" s="19"/>
      <c r="O25" s="1021" t="s">
        <v>517</v>
      </c>
      <c r="Q25" s="324"/>
      <c r="R25" s="1058" t="s">
        <v>562</v>
      </c>
      <c r="S25" s="1058"/>
      <c r="T25" s="1058"/>
      <c r="U25" s="1058"/>
      <c r="V25" s="1058"/>
      <c r="W25" s="1058"/>
      <c r="X25" s="1058"/>
      <c r="Y25" s="1058"/>
      <c r="Z25" s="324"/>
      <c r="AA25" s="324"/>
      <c r="AB25" s="324"/>
      <c r="AC25" s="324"/>
      <c r="AD25" s="324"/>
      <c r="AE25" s="324"/>
      <c r="AF25" s="324"/>
      <c r="AG25" s="324"/>
    </row>
    <row r="26" spans="1:33" customFormat="1" ht="24" customHeight="1" thickBot="1">
      <c r="A26" s="1023" t="s">
        <v>45</v>
      </c>
      <c r="B26" s="1024"/>
      <c r="C26" s="1024"/>
      <c r="D26" s="1024"/>
      <c r="E26" s="1024"/>
      <c r="F26" s="1024"/>
      <c r="G26" s="1036"/>
      <c r="H26" s="1037"/>
      <c r="I26" s="1038"/>
      <c r="J26" s="322">
        <f>SUM(J5:J25)</f>
        <v>0</v>
      </c>
      <c r="K26" s="322">
        <f>K24+K25</f>
        <v>0</v>
      </c>
      <c r="L26" s="322">
        <f>SUM(L5:L25)</f>
        <v>0</v>
      </c>
      <c r="M26" s="323">
        <f>SUM(M5:M22)</f>
        <v>0</v>
      </c>
      <c r="N26" s="21"/>
      <c r="O26" s="1022"/>
      <c r="Q26" s="324"/>
      <c r="R26" s="1058"/>
      <c r="S26" s="1058"/>
      <c r="T26" s="1058"/>
      <c r="U26" s="1058"/>
      <c r="V26" s="1058"/>
      <c r="W26" s="1058"/>
      <c r="X26" s="1058"/>
      <c r="Y26" s="1058"/>
      <c r="Z26" s="324"/>
      <c r="AA26" s="324"/>
      <c r="AB26" s="324"/>
      <c r="AC26" s="324"/>
      <c r="AD26" s="324"/>
      <c r="AE26" s="324"/>
      <c r="AF26" s="324"/>
      <c r="AG26" s="324"/>
    </row>
    <row r="27" spans="1:33" customFormat="1" ht="6.75" customHeight="1" thickTop="1">
      <c r="O27" s="1015" t="str">
        <f>IF(OR(K28=0,M28=""),"-",(K26-L5-K23)/K28/M28)</f>
        <v>-</v>
      </c>
      <c r="Q27" s="324"/>
      <c r="R27" s="1058"/>
      <c r="S27" s="1058"/>
      <c r="T27" s="1058"/>
      <c r="U27" s="1058"/>
      <c r="V27" s="1058"/>
      <c r="W27" s="1058"/>
      <c r="X27" s="1058"/>
      <c r="Y27" s="1058"/>
      <c r="Z27" s="324"/>
      <c r="AA27" s="324"/>
      <c r="AB27" s="324"/>
      <c r="AC27" s="324"/>
      <c r="AD27" s="324"/>
      <c r="AE27" s="324"/>
      <c r="AF27" s="324"/>
      <c r="AG27" s="324"/>
    </row>
    <row r="28" spans="1:33" customFormat="1" ht="16.5" thickBot="1">
      <c r="E28" s="20"/>
      <c r="F28" s="1017" t="s">
        <v>85</v>
      </c>
      <c r="G28" s="1018"/>
      <c r="H28" s="1019">
        <f>K24-L5</f>
        <v>0</v>
      </c>
      <c r="I28" s="1020"/>
      <c r="J28" s="121" t="s">
        <v>94</v>
      </c>
      <c r="K28" s="116">
        <f>'3)招へい者4)受入れ体制'!L31</f>
        <v>0</v>
      </c>
      <c r="L28" s="121" t="s">
        <v>95</v>
      </c>
      <c r="M28" s="117" t="str">
        <f>'1)受入れ機関概要'!G8</f>
        <v/>
      </c>
      <c r="O28" s="1016"/>
      <c r="Q28" s="324"/>
      <c r="R28" s="1058"/>
      <c r="S28" s="1058"/>
      <c r="T28" s="1058"/>
      <c r="U28" s="1058"/>
      <c r="V28" s="1058"/>
      <c r="W28" s="1058"/>
      <c r="X28" s="1058"/>
      <c r="Y28" s="1058"/>
      <c r="Z28" s="324"/>
      <c r="AA28" s="324"/>
      <c r="AB28" s="324"/>
      <c r="AC28" s="324"/>
      <c r="AD28" s="324"/>
      <c r="AE28" s="324"/>
      <c r="AF28" s="324"/>
      <c r="AG28" s="324"/>
    </row>
    <row r="29" spans="1:33" customFormat="1">
      <c r="A29" s="93"/>
      <c r="B29" s="93"/>
      <c r="C29" s="93"/>
      <c r="D29" s="93"/>
      <c r="E29" s="93"/>
      <c r="F29" s="93"/>
      <c r="G29" s="93"/>
      <c r="H29" s="93"/>
      <c r="I29" s="93"/>
      <c r="J29" s="93"/>
      <c r="K29" s="93"/>
      <c r="L29" s="93"/>
      <c r="M29" s="93"/>
      <c r="N29" s="93"/>
      <c r="O29" s="93"/>
      <c r="Q29" s="382"/>
      <c r="R29" s="518" t="s">
        <v>259</v>
      </c>
      <c r="S29" s="382"/>
      <c r="T29" s="324"/>
      <c r="U29" s="324"/>
      <c r="V29" s="324"/>
      <c r="W29" s="324"/>
      <c r="X29" s="324"/>
      <c r="Y29" s="324"/>
      <c r="Z29" s="324"/>
      <c r="AA29" s="324"/>
      <c r="AB29" s="324"/>
      <c r="AC29" s="324"/>
      <c r="AD29" s="324"/>
      <c r="AE29" s="324"/>
      <c r="AF29" s="324"/>
      <c r="AG29" s="324"/>
    </row>
    <row r="30" spans="1:33" customFormat="1" ht="27" customHeight="1">
      <c r="A30" s="1048" t="s">
        <v>260</v>
      </c>
      <c r="B30" s="1049"/>
      <c r="C30" s="1049"/>
      <c r="D30" s="1049"/>
      <c r="E30" s="1049"/>
      <c r="F30" s="1049"/>
      <c r="G30" s="1049"/>
      <c r="H30" s="1049"/>
      <c r="I30" s="1049"/>
      <c r="J30" s="1049"/>
      <c r="K30" s="1049"/>
      <c r="L30" s="1049"/>
      <c r="M30" s="1049"/>
      <c r="N30" s="1049"/>
      <c r="O30" s="1050"/>
      <c r="Q30" s="382"/>
      <c r="R30" s="1059" t="s">
        <v>643</v>
      </c>
      <c r="S30" s="1060"/>
      <c r="T30" s="1060"/>
      <c r="U30" s="1060"/>
      <c r="V30" s="1060"/>
      <c r="W30" s="1060"/>
      <c r="X30" s="1060"/>
      <c r="Y30" s="1060"/>
      <c r="Z30" s="1060"/>
      <c r="AA30" s="1060"/>
      <c r="AB30" s="1060"/>
      <c r="AC30" s="1060"/>
      <c r="AD30" s="1060"/>
      <c r="AE30" s="1060"/>
      <c r="AF30" s="1061"/>
      <c r="AG30" s="324"/>
    </row>
    <row r="31" spans="1:33" customFormat="1" ht="27" customHeight="1" thickBot="1">
      <c r="A31" s="195" t="s">
        <v>254</v>
      </c>
      <c r="B31" s="1042" t="s">
        <v>26</v>
      </c>
      <c r="C31" s="1043"/>
      <c r="D31" s="1044"/>
      <c r="E31" s="1042" t="s">
        <v>250</v>
      </c>
      <c r="F31" s="1043"/>
      <c r="G31" s="1043"/>
      <c r="H31" s="1043"/>
      <c r="I31" s="1045"/>
      <c r="J31" s="428" t="s">
        <v>27</v>
      </c>
      <c r="K31" s="428" t="s">
        <v>28</v>
      </c>
      <c r="L31" s="187" t="s">
        <v>252</v>
      </c>
      <c r="M31" s="196" t="s">
        <v>253</v>
      </c>
      <c r="N31" s="188"/>
      <c r="O31" s="197" t="s">
        <v>83</v>
      </c>
      <c r="Q31" s="382"/>
      <c r="R31" s="500" t="s">
        <v>629</v>
      </c>
      <c r="S31" s="1062" t="s">
        <v>630</v>
      </c>
      <c r="T31" s="1063"/>
      <c r="U31" s="1064"/>
      <c r="V31" s="1062" t="s">
        <v>631</v>
      </c>
      <c r="W31" s="1063"/>
      <c r="X31" s="1063"/>
      <c r="Y31" s="1063"/>
      <c r="Z31" s="1065"/>
      <c r="AA31" s="501" t="s">
        <v>632</v>
      </c>
      <c r="AB31" s="501" t="s">
        <v>633</v>
      </c>
      <c r="AC31" s="501" t="s">
        <v>634</v>
      </c>
      <c r="AD31" s="502" t="s">
        <v>635</v>
      </c>
      <c r="AE31" s="1066" t="s">
        <v>636</v>
      </c>
      <c r="AF31" s="1067"/>
      <c r="AG31" s="324"/>
    </row>
    <row r="32" spans="1:33" customFormat="1" ht="24" customHeight="1">
      <c r="A32" s="996" t="s">
        <v>255</v>
      </c>
      <c r="B32" s="1051" t="s">
        <v>261</v>
      </c>
      <c r="C32" s="1052"/>
      <c r="D32" s="1053"/>
      <c r="E32" s="994"/>
      <c r="F32" s="995"/>
      <c r="G32" s="995"/>
      <c r="H32" s="995"/>
      <c r="I32" s="995"/>
      <c r="J32" s="152"/>
      <c r="K32" s="429"/>
      <c r="L32" s="426">
        <f>J32*K32</f>
        <v>0</v>
      </c>
      <c r="M32" s="991">
        <f>SUM(L32:L41)</f>
        <v>0</v>
      </c>
      <c r="N32" s="189" t="str">
        <f>IF(E32=0,"",IF(O32&lt;&gt;"","","(詳細、利用日等を記入)"))</f>
        <v/>
      </c>
      <c r="O32" s="137"/>
      <c r="P32" s="385"/>
      <c r="Q32" s="324"/>
      <c r="R32" s="1068" t="s">
        <v>637</v>
      </c>
      <c r="S32" s="1071" t="s">
        <v>638</v>
      </c>
      <c r="T32" s="1072"/>
      <c r="U32" s="1073"/>
      <c r="V32" s="1080" t="s">
        <v>639</v>
      </c>
      <c r="W32" s="1080"/>
      <c r="X32" s="1080"/>
      <c r="Y32" s="1080"/>
      <c r="Z32" s="1081"/>
      <c r="AA32" s="314">
        <v>20000</v>
      </c>
      <c r="AB32" s="314">
        <v>2</v>
      </c>
      <c r="AC32" s="499">
        <f>AA32*AB32</f>
        <v>40000</v>
      </c>
      <c r="AD32" s="1082">
        <v>250000</v>
      </c>
      <c r="AE32" s="1085" t="s">
        <v>640</v>
      </c>
      <c r="AF32" s="1086"/>
      <c r="AG32" s="324"/>
    </row>
    <row r="33" spans="1:33" customFormat="1" ht="24" customHeight="1">
      <c r="A33" s="997"/>
      <c r="B33" s="1054"/>
      <c r="C33" s="1055"/>
      <c r="D33" s="1056"/>
      <c r="E33" s="1000"/>
      <c r="F33" s="559"/>
      <c r="G33" s="559"/>
      <c r="H33" s="559"/>
      <c r="I33" s="559"/>
      <c r="J33" s="154"/>
      <c r="K33" s="430"/>
      <c r="L33" s="426">
        <f t="shared" ref="L33:L37" si="5">J33*K33</f>
        <v>0</v>
      </c>
      <c r="M33" s="992"/>
      <c r="N33" s="190" t="str">
        <f t="shared" ref="N33:N41" si="6">IF(E33=0,"",IF(O33&lt;&gt;"","","(詳細、利用日等を記入)"))</f>
        <v/>
      </c>
      <c r="O33" s="138"/>
      <c r="Q33" s="324"/>
      <c r="R33" s="1069"/>
      <c r="S33" s="1074"/>
      <c r="T33" s="1075"/>
      <c r="U33" s="1076"/>
      <c r="V33" s="503" t="s">
        <v>641</v>
      </c>
      <c r="W33" s="504"/>
      <c r="X33" s="504"/>
      <c r="Y33" s="504"/>
      <c r="Z33" s="505"/>
      <c r="AA33" s="316">
        <v>200000</v>
      </c>
      <c r="AB33" s="252">
        <v>1</v>
      </c>
      <c r="AC33" s="499">
        <v>210000</v>
      </c>
      <c r="AD33" s="1083"/>
      <c r="AE33" s="1087" t="s">
        <v>642</v>
      </c>
      <c r="AF33" s="1088"/>
      <c r="AG33" s="324"/>
    </row>
    <row r="34" spans="1:33" customFormat="1" ht="24" customHeight="1">
      <c r="A34" s="997"/>
      <c r="B34" s="1039" t="str">
        <f>IF('8)招へい者リスト'!S1="A","科学技術体験コース(Aコース)：
　・招へい前後に実施する
　　オンライン交流に係る費用",IF('8)招へい者リスト'!S1="B","共同研究活動コース(Ｂコース):
　・共同研究活動に必須の消耗品
　・招へい前後に実施する
　　オンライン交流に係る費用",IF('8)招へい者リスト'!S1="C","科学技術研修コース(Ｃコース)：
　・研修実施に必須の消耗品
　・招へい前後に実施する
　　オンライン交流に係る費用","")))</f>
        <v/>
      </c>
      <c r="C34" s="1040"/>
      <c r="D34" s="1041"/>
      <c r="E34" s="1000"/>
      <c r="F34" s="559"/>
      <c r="G34" s="559"/>
      <c r="H34" s="559"/>
      <c r="I34" s="559"/>
      <c r="J34" s="154"/>
      <c r="K34" s="430"/>
      <c r="L34" s="426">
        <f t="shared" si="5"/>
        <v>0</v>
      </c>
      <c r="M34" s="992"/>
      <c r="N34" s="190" t="str">
        <f t="shared" si="6"/>
        <v/>
      </c>
      <c r="O34" s="138"/>
      <c r="P34" s="386"/>
      <c r="Q34" s="324"/>
      <c r="R34" s="1069"/>
      <c r="S34" s="1074"/>
      <c r="T34" s="1075"/>
      <c r="U34" s="1076"/>
      <c r="V34" s="506"/>
      <c r="W34" s="507"/>
      <c r="X34" s="507"/>
      <c r="Y34" s="507"/>
      <c r="Z34" s="507"/>
      <c r="AA34" s="508"/>
      <c r="AB34" s="324"/>
      <c r="AC34" s="509"/>
      <c r="AD34" s="1083"/>
      <c r="AE34" s="506"/>
      <c r="AF34" s="515"/>
      <c r="AG34" s="324"/>
    </row>
    <row r="35" spans="1:33" customFormat="1" ht="24" customHeight="1">
      <c r="A35" s="997"/>
      <c r="B35" s="1039"/>
      <c r="C35" s="1040"/>
      <c r="D35" s="1041"/>
      <c r="E35" s="1000"/>
      <c r="F35" s="559"/>
      <c r="G35" s="559"/>
      <c r="H35" s="559"/>
      <c r="I35" s="559"/>
      <c r="J35" s="154"/>
      <c r="K35" s="430"/>
      <c r="L35" s="426">
        <f t="shared" si="5"/>
        <v>0</v>
      </c>
      <c r="M35" s="992"/>
      <c r="N35" s="190" t="str">
        <f t="shared" si="6"/>
        <v/>
      </c>
      <c r="O35" s="138"/>
      <c r="Q35" s="324"/>
      <c r="R35" s="1069"/>
      <c r="S35" s="1074"/>
      <c r="T35" s="1075"/>
      <c r="U35" s="1076"/>
      <c r="V35" s="506"/>
      <c r="W35" s="507"/>
      <c r="X35" s="507"/>
      <c r="Y35" s="507"/>
      <c r="Z35" s="507"/>
      <c r="AA35" s="510"/>
      <c r="AB35" s="509"/>
      <c r="AC35" s="510"/>
      <c r="AD35" s="1083"/>
      <c r="AE35" s="506"/>
      <c r="AF35" s="515"/>
      <c r="AG35" s="324"/>
    </row>
    <row r="36" spans="1:33" customFormat="1" ht="24" customHeight="1">
      <c r="A36" s="997"/>
      <c r="B36" s="1039"/>
      <c r="C36" s="1040"/>
      <c r="D36" s="1041"/>
      <c r="E36" s="1000"/>
      <c r="F36" s="559"/>
      <c r="G36" s="559"/>
      <c r="H36" s="559"/>
      <c r="I36" s="559"/>
      <c r="J36" s="154"/>
      <c r="K36" s="430"/>
      <c r="L36" s="426">
        <f t="shared" si="5"/>
        <v>0</v>
      </c>
      <c r="M36" s="992"/>
      <c r="N36" s="190" t="str">
        <f t="shared" si="6"/>
        <v/>
      </c>
      <c r="O36" s="138"/>
      <c r="P36" s="387"/>
      <c r="Q36" s="324"/>
      <c r="R36" s="1070"/>
      <c r="S36" s="1077"/>
      <c r="T36" s="1078"/>
      <c r="U36" s="1079"/>
      <c r="V36" s="511"/>
      <c r="W36" s="512"/>
      <c r="X36" s="512"/>
      <c r="Y36" s="512"/>
      <c r="Z36" s="513"/>
      <c r="AA36" s="512"/>
      <c r="AB36" s="514"/>
      <c r="AC36" s="514"/>
      <c r="AD36" s="1084"/>
      <c r="AE36" s="516"/>
      <c r="AF36" s="517"/>
      <c r="AG36" s="324"/>
    </row>
    <row r="37" spans="1:33" customFormat="1" ht="24" customHeight="1">
      <c r="A37" s="997"/>
      <c r="B37" s="1039"/>
      <c r="C37" s="1040"/>
      <c r="D37" s="1041"/>
      <c r="E37" s="1000"/>
      <c r="F37" s="559"/>
      <c r="G37" s="559"/>
      <c r="H37" s="559"/>
      <c r="I37" s="559"/>
      <c r="J37" s="154"/>
      <c r="K37" s="430"/>
      <c r="L37" s="426">
        <f t="shared" si="5"/>
        <v>0</v>
      </c>
      <c r="M37" s="992"/>
      <c r="N37" s="190" t="str">
        <f t="shared" si="6"/>
        <v/>
      </c>
      <c r="O37" s="138"/>
      <c r="P37" s="385" t="str">
        <f>IF(G18&lt;&gt;M32,"上段の経費概算見積書の追加費用の金額と合致するよう入力してください。","")</f>
        <v/>
      </c>
      <c r="Q37" s="324"/>
      <c r="R37" s="324"/>
      <c r="S37" s="324"/>
      <c r="T37" s="324"/>
      <c r="U37" s="324"/>
      <c r="V37" s="324"/>
      <c r="W37" s="324"/>
      <c r="X37" s="324"/>
      <c r="Y37" s="324"/>
      <c r="Z37" s="324"/>
      <c r="AA37" s="324"/>
      <c r="AB37" s="324"/>
      <c r="AC37" s="324"/>
      <c r="AD37" s="324"/>
      <c r="AE37" s="324"/>
      <c r="AF37" s="324"/>
      <c r="AG37" s="324"/>
    </row>
    <row r="38" spans="1:33" customFormat="1" ht="24" customHeight="1">
      <c r="A38" s="997"/>
      <c r="B38" s="204"/>
      <c r="C38" s="205"/>
      <c r="D38" s="206"/>
      <c r="E38" s="1000"/>
      <c r="F38" s="559"/>
      <c r="G38" s="559"/>
      <c r="H38" s="559"/>
      <c r="I38" s="559"/>
      <c r="J38" s="154"/>
      <c r="K38" s="430"/>
      <c r="L38" s="426">
        <f t="shared" ref="L38:L41" si="7">J38*K38</f>
        <v>0</v>
      </c>
      <c r="M38" s="992"/>
      <c r="N38" s="190" t="str">
        <f t="shared" si="6"/>
        <v/>
      </c>
      <c r="O38" s="138"/>
      <c r="Q38" s="324"/>
      <c r="R38" s="1057" t="s">
        <v>645</v>
      </c>
      <c r="S38" s="1057"/>
      <c r="T38" s="1057"/>
      <c r="U38" s="1057"/>
      <c r="V38" s="1057"/>
      <c r="W38" s="1057"/>
      <c r="X38" s="1057"/>
      <c r="Y38" s="1057"/>
      <c r="Z38" s="1057"/>
      <c r="AA38" s="1057"/>
      <c r="AB38" s="1057"/>
      <c r="AC38" s="1057"/>
      <c r="AD38" s="1057"/>
      <c r="AE38" s="1057"/>
      <c r="AF38" s="1057"/>
      <c r="AG38" s="324"/>
    </row>
    <row r="39" spans="1:33" customFormat="1" ht="24" customHeight="1">
      <c r="A39" s="997"/>
      <c r="B39" s="204"/>
      <c r="C39" s="205"/>
      <c r="D39" s="206"/>
      <c r="E39" s="1000"/>
      <c r="F39" s="559"/>
      <c r="G39" s="559"/>
      <c r="H39" s="559"/>
      <c r="I39" s="559"/>
      <c r="J39" s="154"/>
      <c r="K39" s="430"/>
      <c r="L39" s="426">
        <f t="shared" si="7"/>
        <v>0</v>
      </c>
      <c r="M39" s="992"/>
      <c r="N39" s="190" t="str">
        <f t="shared" si="6"/>
        <v/>
      </c>
      <c r="O39" s="138"/>
      <c r="P39" s="385"/>
      <c r="Q39" s="324"/>
      <c r="R39" s="1057"/>
      <c r="S39" s="1057"/>
      <c r="T39" s="1057"/>
      <c r="U39" s="1057"/>
      <c r="V39" s="1057"/>
      <c r="W39" s="1057"/>
      <c r="X39" s="1057"/>
      <c r="Y39" s="1057"/>
      <c r="Z39" s="1057"/>
      <c r="AA39" s="1057"/>
      <c r="AB39" s="1057"/>
      <c r="AC39" s="1057"/>
      <c r="AD39" s="1057"/>
      <c r="AE39" s="1057"/>
      <c r="AF39" s="1057"/>
      <c r="AG39" s="324"/>
    </row>
    <row r="40" spans="1:33" customFormat="1" ht="24" customHeight="1">
      <c r="A40" s="997"/>
      <c r="B40" s="204"/>
      <c r="C40" s="205"/>
      <c r="D40" s="206"/>
      <c r="E40" s="1000"/>
      <c r="F40" s="559"/>
      <c r="G40" s="559"/>
      <c r="H40" s="559"/>
      <c r="I40" s="559"/>
      <c r="J40" s="154"/>
      <c r="K40" s="430"/>
      <c r="L40" s="426">
        <f t="shared" si="7"/>
        <v>0</v>
      </c>
      <c r="M40" s="992"/>
      <c r="N40" s="190" t="str">
        <f t="shared" si="6"/>
        <v/>
      </c>
      <c r="O40" s="138"/>
      <c r="Q40" s="324"/>
      <c r="R40" s="1057"/>
      <c r="S40" s="1057"/>
      <c r="T40" s="1057"/>
      <c r="U40" s="1057"/>
      <c r="V40" s="1057"/>
      <c r="W40" s="1057"/>
      <c r="X40" s="1057"/>
      <c r="Y40" s="1057"/>
      <c r="Z40" s="1057"/>
      <c r="AA40" s="1057"/>
      <c r="AB40" s="1057"/>
      <c r="AC40" s="1057"/>
      <c r="AD40" s="1057"/>
      <c r="AE40" s="1057"/>
      <c r="AF40" s="1057"/>
      <c r="AG40" s="324"/>
    </row>
    <row r="41" spans="1:33" customFormat="1" ht="24" customHeight="1" thickBot="1">
      <c r="A41" s="998"/>
      <c r="B41" s="207"/>
      <c r="C41" s="208"/>
      <c r="D41" s="209"/>
      <c r="E41" s="999"/>
      <c r="F41" s="539"/>
      <c r="G41" s="539"/>
      <c r="H41" s="539"/>
      <c r="I41" s="539"/>
      <c r="J41" s="431"/>
      <c r="K41" s="432"/>
      <c r="L41" s="427">
        <f t="shared" si="7"/>
        <v>0</v>
      </c>
      <c r="M41" s="993"/>
      <c r="N41" s="191" t="str">
        <f t="shared" si="6"/>
        <v/>
      </c>
      <c r="O41" s="139"/>
      <c r="Q41" s="324"/>
      <c r="R41" s="1057"/>
      <c r="S41" s="1057"/>
      <c r="T41" s="1057"/>
      <c r="U41" s="1057"/>
      <c r="V41" s="1057"/>
      <c r="W41" s="1057"/>
      <c r="X41" s="1057"/>
      <c r="Y41" s="1057"/>
      <c r="Z41" s="1057"/>
      <c r="AA41" s="1057"/>
      <c r="AB41" s="1057"/>
      <c r="AC41" s="1057"/>
      <c r="AD41" s="1057"/>
      <c r="AE41" s="1057"/>
      <c r="AF41" s="1057"/>
      <c r="AG41" s="324"/>
    </row>
    <row r="42" spans="1:33" customFormat="1" ht="24">
      <c r="A42" s="192"/>
      <c r="B42" s="192"/>
      <c r="C42" s="192"/>
      <c r="D42" s="192"/>
      <c r="E42" s="192"/>
      <c r="F42" s="193"/>
      <c r="G42" s="193"/>
      <c r="H42" s="193"/>
      <c r="I42" s="193"/>
      <c r="J42" s="93"/>
      <c r="K42" s="93"/>
      <c r="L42" s="93"/>
      <c r="M42" s="93"/>
      <c r="N42" s="93"/>
      <c r="O42" s="93"/>
      <c r="Q42" s="324"/>
      <c r="R42" s="1057"/>
      <c r="S42" s="1057"/>
      <c r="T42" s="1057"/>
      <c r="U42" s="1057"/>
      <c r="V42" s="1057"/>
      <c r="W42" s="1057"/>
      <c r="X42" s="1057"/>
      <c r="Y42" s="1057"/>
      <c r="Z42" s="1057"/>
      <c r="AA42" s="1057"/>
      <c r="AB42" s="1057"/>
      <c r="AC42" s="1057"/>
      <c r="AD42" s="1057"/>
      <c r="AE42" s="1057"/>
      <c r="AF42" s="1057"/>
      <c r="AG42" s="324"/>
    </row>
    <row r="43" spans="1:33" customFormat="1" ht="16.5" customHeight="1">
      <c r="A43" s="988" t="s">
        <v>272</v>
      </c>
      <c r="B43" s="989"/>
      <c r="C43" s="989"/>
      <c r="D43" s="989"/>
      <c r="E43" s="989"/>
      <c r="F43" s="989"/>
      <c r="G43" s="989"/>
      <c r="H43" s="989"/>
      <c r="I43" s="989"/>
      <c r="J43" s="989"/>
      <c r="K43" s="989"/>
      <c r="L43" s="989"/>
      <c r="M43" s="989"/>
      <c r="N43" s="989"/>
      <c r="O43" s="990"/>
      <c r="Q43" s="324"/>
      <c r="R43" s="1057"/>
      <c r="S43" s="1057"/>
      <c r="T43" s="1057"/>
      <c r="U43" s="1057"/>
      <c r="V43" s="1057"/>
      <c r="W43" s="1057"/>
      <c r="X43" s="1057"/>
      <c r="Y43" s="1057"/>
      <c r="Z43" s="1057"/>
      <c r="AA43" s="1057"/>
      <c r="AB43" s="1057"/>
      <c r="AC43" s="1057"/>
      <c r="AD43" s="1057"/>
      <c r="AE43" s="1057"/>
      <c r="AF43" s="1057"/>
      <c r="AG43" s="324"/>
    </row>
    <row r="44" spans="1:33" customFormat="1" ht="16.5" customHeight="1">
      <c r="A44" s="985" t="s">
        <v>526</v>
      </c>
      <c r="B44" s="986"/>
      <c r="C44" s="986"/>
      <c r="D44" s="986"/>
      <c r="E44" s="986"/>
      <c r="F44" s="986"/>
      <c r="G44" s="986"/>
      <c r="H44" s="986"/>
      <c r="I44" s="986"/>
      <c r="J44" s="986"/>
      <c r="K44" s="986"/>
      <c r="L44" s="986"/>
      <c r="M44" s="986"/>
      <c r="N44" s="986"/>
      <c r="O44" s="987"/>
      <c r="Q44" s="324"/>
      <c r="R44" s="1057"/>
      <c r="S44" s="1057"/>
      <c r="T44" s="1057"/>
      <c r="U44" s="1057"/>
      <c r="V44" s="1057"/>
      <c r="W44" s="1057"/>
      <c r="X44" s="1057"/>
      <c r="Y44" s="1057"/>
      <c r="Z44" s="1057"/>
      <c r="AA44" s="1057"/>
      <c r="AB44" s="1057"/>
      <c r="AC44" s="1057"/>
      <c r="AD44" s="1057"/>
      <c r="AE44" s="1057"/>
      <c r="AF44" s="1057"/>
      <c r="AG44" s="324"/>
    </row>
    <row r="45" spans="1:33" customFormat="1" ht="30.75" customHeight="1">
      <c r="A45" s="976"/>
      <c r="B45" s="977"/>
      <c r="C45" s="977"/>
      <c r="D45" s="977"/>
      <c r="E45" s="977"/>
      <c r="F45" s="977"/>
      <c r="G45" s="977"/>
      <c r="H45" s="977"/>
      <c r="I45" s="977"/>
      <c r="J45" s="977"/>
      <c r="K45" s="977"/>
      <c r="L45" s="977"/>
      <c r="M45" s="977"/>
      <c r="N45" s="977"/>
      <c r="O45" s="978"/>
      <c r="Q45" s="324"/>
      <c r="R45" s="1057"/>
      <c r="S45" s="1057"/>
      <c r="T45" s="1057"/>
      <c r="U45" s="1057"/>
      <c r="V45" s="1057"/>
      <c r="W45" s="1057"/>
      <c r="X45" s="1057"/>
      <c r="Y45" s="1057"/>
      <c r="Z45" s="1057"/>
      <c r="AA45" s="1057"/>
      <c r="AB45" s="1057"/>
      <c r="AC45" s="1057"/>
      <c r="AD45" s="1057"/>
      <c r="AE45" s="1057"/>
      <c r="AF45" s="1057"/>
      <c r="AG45" s="324"/>
    </row>
    <row r="46" spans="1:33" customFormat="1" ht="30.75" customHeight="1">
      <c r="A46" s="979"/>
      <c r="B46" s="980"/>
      <c r="C46" s="980"/>
      <c r="D46" s="980"/>
      <c r="E46" s="980"/>
      <c r="F46" s="980"/>
      <c r="G46" s="980"/>
      <c r="H46" s="980"/>
      <c r="I46" s="980"/>
      <c r="J46" s="980"/>
      <c r="K46" s="980"/>
      <c r="L46" s="980"/>
      <c r="M46" s="980"/>
      <c r="N46" s="980"/>
      <c r="O46" s="981"/>
      <c r="Q46" s="324"/>
      <c r="R46" s="1057"/>
      <c r="S46" s="1057"/>
      <c r="T46" s="1057"/>
      <c r="U46" s="1057"/>
      <c r="V46" s="1057"/>
      <c r="W46" s="1057"/>
      <c r="X46" s="1057"/>
      <c r="Y46" s="1057"/>
      <c r="Z46" s="1057"/>
      <c r="AA46" s="1057"/>
      <c r="AB46" s="1057"/>
      <c r="AC46" s="1057"/>
      <c r="AD46" s="1057"/>
      <c r="AE46" s="1057"/>
      <c r="AF46" s="1057"/>
      <c r="AG46" s="324"/>
    </row>
    <row r="47" spans="1:33" customFormat="1" ht="30.75" customHeight="1">
      <c r="A47" s="979"/>
      <c r="B47" s="980"/>
      <c r="C47" s="980"/>
      <c r="D47" s="980"/>
      <c r="E47" s="980"/>
      <c r="F47" s="980"/>
      <c r="G47" s="980"/>
      <c r="H47" s="980"/>
      <c r="I47" s="980"/>
      <c r="J47" s="980"/>
      <c r="K47" s="980"/>
      <c r="L47" s="980"/>
      <c r="M47" s="980"/>
      <c r="N47" s="980"/>
      <c r="O47" s="981"/>
      <c r="Q47" s="324"/>
      <c r="R47" s="324"/>
      <c r="S47" s="324"/>
      <c r="T47" s="324"/>
      <c r="U47" s="324"/>
      <c r="V47" s="324"/>
      <c r="W47" s="324"/>
      <c r="X47" s="324"/>
      <c r="Y47" s="324"/>
      <c r="Z47" s="324"/>
      <c r="AA47" s="324"/>
      <c r="AB47" s="324"/>
      <c r="AC47" s="324"/>
      <c r="AD47" s="324"/>
      <c r="AE47" s="324"/>
      <c r="AF47" s="324"/>
      <c r="AG47" s="324"/>
    </row>
    <row r="48" spans="1:33" customFormat="1" ht="30.75" customHeight="1">
      <c r="A48" s="979"/>
      <c r="B48" s="980"/>
      <c r="C48" s="980"/>
      <c r="D48" s="980"/>
      <c r="E48" s="980"/>
      <c r="F48" s="980"/>
      <c r="G48" s="980"/>
      <c r="H48" s="980"/>
      <c r="I48" s="980"/>
      <c r="J48" s="980"/>
      <c r="K48" s="980"/>
      <c r="L48" s="980"/>
      <c r="M48" s="980"/>
      <c r="N48" s="980"/>
      <c r="O48" s="981"/>
      <c r="Q48" s="324"/>
      <c r="R48" s="324"/>
      <c r="S48" s="324"/>
      <c r="T48" s="324"/>
      <c r="U48" s="324"/>
      <c r="V48" s="324"/>
      <c r="W48" s="324"/>
      <c r="X48" s="324"/>
      <c r="Y48" s="324"/>
      <c r="Z48" s="324"/>
      <c r="AA48" s="324"/>
      <c r="AB48" s="324"/>
      <c r="AC48" s="324"/>
      <c r="AD48" s="324"/>
      <c r="AE48" s="324"/>
      <c r="AF48" s="324"/>
      <c r="AG48" s="324"/>
    </row>
    <row r="49" spans="1:33" customFormat="1" ht="30.75" customHeight="1">
      <c r="A49" s="982"/>
      <c r="B49" s="983"/>
      <c r="C49" s="983"/>
      <c r="D49" s="983"/>
      <c r="E49" s="983"/>
      <c r="F49" s="983"/>
      <c r="G49" s="983"/>
      <c r="H49" s="983"/>
      <c r="I49" s="983"/>
      <c r="J49" s="983"/>
      <c r="K49" s="983"/>
      <c r="L49" s="983"/>
      <c r="M49" s="983"/>
      <c r="N49" s="983"/>
      <c r="O49" s="984"/>
      <c r="Q49" s="324"/>
      <c r="R49" s="324"/>
      <c r="S49" s="324"/>
      <c r="T49" s="324"/>
      <c r="U49" s="324"/>
      <c r="V49" s="324"/>
      <c r="W49" s="324"/>
      <c r="X49" s="324"/>
      <c r="Y49" s="324"/>
      <c r="Z49" s="324"/>
      <c r="AA49" s="324"/>
      <c r="AB49" s="324"/>
      <c r="AC49" s="324"/>
      <c r="AD49" s="324"/>
      <c r="AE49" s="324"/>
      <c r="AF49" s="324"/>
      <c r="AG49" s="324"/>
    </row>
    <row r="50" spans="1:33" customFormat="1">
      <c r="Q50" s="324"/>
      <c r="R50" s="324"/>
      <c r="S50" s="324"/>
      <c r="T50" s="324"/>
      <c r="U50" s="324"/>
      <c r="V50" s="324"/>
      <c r="W50" s="324"/>
      <c r="X50" s="324"/>
      <c r="Y50" s="324"/>
      <c r="Z50" s="324"/>
      <c r="AA50" s="324"/>
      <c r="AB50" s="324"/>
      <c r="AC50" s="324"/>
      <c r="AD50" s="324"/>
      <c r="AE50" s="324"/>
      <c r="AF50" s="324"/>
      <c r="AG50" s="324"/>
    </row>
  </sheetData>
  <sheetProtection algorithmName="SHA-512" hashValue="fsLSPPFlFpoWgf5GiyAx9benvm9gNns9r1SkcpMphqXoLCQMIWYjCkmIlzgqxSQV4owEElY6DD6N6wnVAGHKcg==" saltValue="b6gXRbDdIAXpr/CudB8djw==" spinCount="100000" sheet="1" formatCells="0" formatColumns="0" formatRows="0"/>
  <mergeCells count="84">
    <mergeCell ref="R1:X1"/>
    <mergeCell ref="R38:AF46"/>
    <mergeCell ref="R4:Y23"/>
    <mergeCell ref="R25:Y28"/>
    <mergeCell ref="R30:AF30"/>
    <mergeCell ref="S31:U31"/>
    <mergeCell ref="V31:Z31"/>
    <mergeCell ref="AE31:AF31"/>
    <mergeCell ref="R32:R36"/>
    <mergeCell ref="S32:U36"/>
    <mergeCell ref="V32:Z32"/>
    <mergeCell ref="AD32:AD36"/>
    <mergeCell ref="AE32:AF32"/>
    <mergeCell ref="AE33:AF33"/>
    <mergeCell ref="B34:D37"/>
    <mergeCell ref="B31:D31"/>
    <mergeCell ref="E31:I31"/>
    <mergeCell ref="M23:M25"/>
    <mergeCell ref="A30:O30"/>
    <mergeCell ref="B32:D33"/>
    <mergeCell ref="C22:D22"/>
    <mergeCell ref="C21:D21"/>
    <mergeCell ref="O27:O28"/>
    <mergeCell ref="F28:G28"/>
    <mergeCell ref="H28:I28"/>
    <mergeCell ref="E21:F21"/>
    <mergeCell ref="O25:O26"/>
    <mergeCell ref="A24:F24"/>
    <mergeCell ref="A25:F25"/>
    <mergeCell ref="A26:F26"/>
    <mergeCell ref="B23:F23"/>
    <mergeCell ref="B19:B22"/>
    <mergeCell ref="E22:F22"/>
    <mergeCell ref="D19:F19"/>
    <mergeCell ref="C20:F20"/>
    <mergeCell ref="G23:I26"/>
    <mergeCell ref="O16:O17"/>
    <mergeCell ref="J16:J18"/>
    <mergeCell ref="K16:K18"/>
    <mergeCell ref="L14:L18"/>
    <mergeCell ref="I16:I17"/>
    <mergeCell ref="M16:M17"/>
    <mergeCell ref="G16:G17"/>
    <mergeCell ref="A45:O49"/>
    <mergeCell ref="A44:O44"/>
    <mergeCell ref="A43:O43"/>
    <mergeCell ref="M32:M41"/>
    <mergeCell ref="E32:I32"/>
    <mergeCell ref="A32:A41"/>
    <mergeCell ref="E41:I41"/>
    <mergeCell ref="E34:I34"/>
    <mergeCell ref="E35:I35"/>
    <mergeCell ref="E36:I36"/>
    <mergeCell ref="E37:I37"/>
    <mergeCell ref="E33:I33"/>
    <mergeCell ref="E38:I38"/>
    <mergeCell ref="E39:I39"/>
    <mergeCell ref="E40:I40"/>
    <mergeCell ref="C7:F7"/>
    <mergeCell ref="C6:F6"/>
    <mergeCell ref="A2:O2"/>
    <mergeCell ref="A4:B4"/>
    <mergeCell ref="C4:F4"/>
    <mergeCell ref="L5:L7"/>
    <mergeCell ref="C5:F5"/>
    <mergeCell ref="G5:I7"/>
    <mergeCell ref="N5:O7"/>
    <mergeCell ref="A5:A23"/>
    <mergeCell ref="B5:B7"/>
    <mergeCell ref="L19:L22"/>
    <mergeCell ref="H16:H17"/>
    <mergeCell ref="B8:B13"/>
    <mergeCell ref="B14:B18"/>
    <mergeCell ref="C16:E18"/>
    <mergeCell ref="L8:L13"/>
    <mergeCell ref="D8:F8"/>
    <mergeCell ref="D9:E10"/>
    <mergeCell ref="D11:F11"/>
    <mergeCell ref="D12:E13"/>
    <mergeCell ref="C8:C10"/>
    <mergeCell ref="C12:C13"/>
    <mergeCell ref="E15:F15"/>
    <mergeCell ref="D14:F14"/>
    <mergeCell ref="C15:D15"/>
  </mergeCells>
  <phoneticPr fontId="14"/>
  <conditionalFormatting sqref="A45">
    <cfRule type="expression" dxfId="64" priority="38">
      <formula>AND($G$18&lt;&gt;0,$A$45="")</formula>
    </cfRule>
  </conditionalFormatting>
  <conditionalFormatting sqref="E32">
    <cfRule type="expression" dxfId="63" priority="22">
      <formula>AND($G$18&lt;&gt;0,$E$32="")</formula>
    </cfRule>
  </conditionalFormatting>
  <conditionalFormatting sqref="G16">
    <cfRule type="containsBlanks" dxfId="62" priority="70">
      <formula>LEN(TRIM(G16))=0</formula>
    </cfRule>
  </conditionalFormatting>
  <conditionalFormatting sqref="G8:H15">
    <cfRule type="containsBlanks" dxfId="61" priority="69">
      <formula>LEN(TRIM(G8))=0</formula>
    </cfRule>
  </conditionalFormatting>
  <conditionalFormatting sqref="G20:H21">
    <cfRule type="containsBlanks" dxfId="60" priority="6">
      <formula>LEN(TRIM(G20))=0</formula>
    </cfRule>
  </conditionalFormatting>
  <conditionalFormatting sqref="G5:M26 J32:K41">
    <cfRule type="expression" dxfId="59" priority="3889">
      <formula>CELL("protect",G5)=1</formula>
    </cfRule>
  </conditionalFormatting>
  <conditionalFormatting sqref="J32:J41">
    <cfRule type="expression" dxfId="58" priority="11">
      <formula>AND(E32&lt;&gt;"",J32="")</formula>
    </cfRule>
  </conditionalFormatting>
  <conditionalFormatting sqref="K23 K25">
    <cfRule type="containsBlanks" dxfId="57" priority="4">
      <formula>LEN(TRIM(K23))=0</formula>
    </cfRule>
  </conditionalFormatting>
  <conditionalFormatting sqref="K23">
    <cfRule type="expression" dxfId="56" priority="3">
      <formula>$K$23&gt;SUM(L5:L22)*0.1</formula>
    </cfRule>
  </conditionalFormatting>
  <conditionalFormatting sqref="K25">
    <cfRule type="expression" dxfId="55" priority="5">
      <formula>$K$25&gt;ROUNDDOWN(K24*0.1,1)</formula>
    </cfRule>
  </conditionalFormatting>
  <conditionalFormatting sqref="K32:K41">
    <cfRule type="expression" dxfId="54" priority="10">
      <formula>AND(E32&lt;&gt;"",K32="")</formula>
    </cfRule>
  </conditionalFormatting>
  <conditionalFormatting sqref="M32:M41">
    <cfRule type="expression" dxfId="53" priority="9">
      <formula>$G$18&lt;&gt;$M$32</formula>
    </cfRule>
  </conditionalFormatting>
  <conditionalFormatting sqref="N8:O8">
    <cfRule type="expression" dxfId="52" priority="42">
      <formula>$N$8&lt;&gt;""</formula>
    </cfRule>
  </conditionalFormatting>
  <conditionalFormatting sqref="N9:O9">
    <cfRule type="expression" dxfId="51" priority="56">
      <formula>$N$9&lt;&gt;""</formula>
    </cfRule>
  </conditionalFormatting>
  <conditionalFormatting sqref="N10:O10">
    <cfRule type="expression" dxfId="50" priority="53">
      <formula>$N$10&lt;&gt;""</formula>
    </cfRule>
  </conditionalFormatting>
  <conditionalFormatting sqref="N11:O11">
    <cfRule type="expression" dxfId="49" priority="52">
      <formula>$N$11&lt;&gt;""</formula>
    </cfRule>
  </conditionalFormatting>
  <conditionalFormatting sqref="N12:O12">
    <cfRule type="expression" dxfId="48" priority="50">
      <formula>$N$12&lt;&gt;""</formula>
    </cfRule>
  </conditionalFormatting>
  <conditionalFormatting sqref="N13:O13">
    <cfRule type="expression" dxfId="47" priority="48">
      <formula>$N$13&lt;&gt;""</formula>
    </cfRule>
  </conditionalFormatting>
  <conditionalFormatting sqref="N14:O14">
    <cfRule type="expression" dxfId="46" priority="60">
      <formula>$N$14&lt;&gt;""</formula>
    </cfRule>
  </conditionalFormatting>
  <conditionalFormatting sqref="N15:O15">
    <cfRule type="expression" dxfId="45" priority="46">
      <formula>$N$15&lt;&gt;""</formula>
    </cfRule>
  </conditionalFormatting>
  <conditionalFormatting sqref="N16:O17">
    <cfRule type="expression" dxfId="44" priority="3892">
      <formula>AND($G$16&lt;&gt;0,$O$16="")</formula>
    </cfRule>
  </conditionalFormatting>
  <conditionalFormatting sqref="N19:O19">
    <cfRule type="expression" dxfId="43" priority="40">
      <formula>$N$19&lt;&gt;""</formula>
    </cfRule>
  </conditionalFormatting>
  <conditionalFormatting sqref="N20:O20">
    <cfRule type="expression" dxfId="42" priority="45">
      <formula>$N$20&lt;&gt;""</formula>
    </cfRule>
  </conditionalFormatting>
  <conditionalFormatting sqref="N21:O21">
    <cfRule type="expression" dxfId="41" priority="44">
      <formula>$N$21&lt;&gt;""</formula>
    </cfRule>
  </conditionalFormatting>
  <conditionalFormatting sqref="N22:O22">
    <cfRule type="expression" dxfId="40" priority="43">
      <formula>$N$22&lt;&gt;""</formula>
    </cfRule>
  </conditionalFormatting>
  <conditionalFormatting sqref="N23:O23">
    <cfRule type="expression" dxfId="39" priority="95">
      <formula>$N$23&lt;&gt;""</formula>
    </cfRule>
  </conditionalFormatting>
  <conditionalFormatting sqref="N32:O41">
    <cfRule type="expression" dxfId="38" priority="15">
      <formula>AND($E32&lt;&gt;"",$O32="")</formula>
    </cfRule>
  </conditionalFormatting>
  <conditionalFormatting sqref="O27:O28">
    <cfRule type="expression" dxfId="37" priority="63">
      <formula>$O$27="-"</formula>
    </cfRule>
    <cfRule type="cellIs" dxfId="36" priority="94" operator="greaterThan">
      <formula>20000</formula>
    </cfRule>
  </conditionalFormatting>
  <conditionalFormatting sqref="AA32:AA33">
    <cfRule type="expression" dxfId="35" priority="2">
      <formula>AND(V32&lt;&gt;"",AA32="")</formula>
    </cfRule>
  </conditionalFormatting>
  <conditionalFormatting sqref="AB32:AB33">
    <cfRule type="expression" dxfId="34" priority="1">
      <formula>AND(V32&lt;&gt;"",AB32="")</formula>
    </cfRule>
  </conditionalFormatting>
  <dataValidations count="17">
    <dataValidation imeMode="off" allowBlank="1" showInputMessage="1" showErrorMessage="1" sqref="N5 H16 N8:N16 N19:N23 N32:N41" xr:uid="{269031DD-04F3-409A-812C-69A47E87100A}"/>
    <dataValidation type="whole" imeMode="disabled" allowBlank="1" showInputMessage="1" showErrorMessage="1" errorTitle="単価が上限を超えています。" error="1,700円以下の金額で再入力してください。" sqref="G21" xr:uid="{4C08B52E-EA6B-4BB7-89B2-00E91DBE975B}">
      <formula1>0</formula1>
      <formula2>1700</formula2>
    </dataValidation>
    <dataValidation type="whole" imeMode="disabled" allowBlank="1" showInputMessage="1" showErrorMessage="1" errorTitle="単価が上限を超えています。" error="3,000円以下の金額で再入力してください。" sqref="G15" xr:uid="{3BECF3F2-5AFB-4BF5-975F-0BDBB0BDDAF6}">
      <formula1>0</formula1>
      <formula2>3000</formula2>
    </dataValidation>
    <dataValidation type="custom" imeMode="disabled" operator="lessThanOrEqual" allowBlank="1" showInputMessage="1" showErrorMessage="1" errorTitle="単価が上限を超えています。" error="宿泊費と日当をあわせて15,000円以下の金額で再入力してください。" prompt="＊単価が複数の場合は平均(整数)で記入" sqref="G13" xr:uid="{11B14399-4D3F-4BAC-BA6F-E2EF19710F22}">
      <formula1>SUM(G12:G13)&lt;=15000</formula1>
    </dataValidation>
    <dataValidation type="whole" imeMode="off" allowBlank="1" showInputMessage="1" showErrorMessage="1" errorTitle="上限を超えています。" error="JST支援金事業費の10%以内の金額を再入力してください。" promptTitle="JST支援金事業費の10％以内の金額を入力してください。" sqref="K25" xr:uid="{A0E26958-4331-4EE2-ACEE-0E4D7FED08A4}">
      <formula1>0</formula1>
      <formula2>ROUNDDOWN(K24*0.1,1)</formula2>
    </dataValidation>
    <dataValidation type="whole" imeMode="disabled" operator="greaterThanOrEqual" allowBlank="1" showInputMessage="1" showErrorMessage="1" sqref="G19 H12:H13 H9:H10 G11:H11 G14:H14 H20:H21 G8:H8 G22:H22 K16 J32:K41" xr:uid="{220A48B0-D886-4B1B-B7FB-184732CAAA33}">
      <formula1>0</formula1>
    </dataValidation>
    <dataValidation type="whole" imeMode="disabled" operator="greaterThanOrEqual" allowBlank="1" showInputMessage="1" showErrorMessage="1" prompt="＊単価が複数の場合は平均で記入" sqref="G20" xr:uid="{85F44DC0-E6B8-4B36-81FB-A5B6A73C53A8}">
      <formula1>0</formula1>
    </dataValidation>
    <dataValidation type="whole" imeMode="disabled" operator="greaterThanOrEqual" allowBlank="1" showInputMessage="1" showErrorMessage="1" prompt="＊1言語、1日あたり1名に限る" sqref="H19" xr:uid="{FFB2A677-8867-4022-A3E0-46BD41687FFA}">
      <formula1>0</formula1>
    </dataValidation>
    <dataValidation allowBlank="1" showInputMessage="1" showErrorMessage="1" prompt="＊「渡航費及びTA謝金」等該当する項目を記入_x000a_＊免税事業者の場合は「免税事業者」と記入" sqref="O23" xr:uid="{585C7081-0E58-4C2D-AF14-896C5D43B7F5}"/>
    <dataValidation type="custom" imeMode="disabled" allowBlank="1" showInputMessage="1" showErrorMessage="1" errorTitle="上限を超えています。" error="宿泊費と日当をあわせて15,000円以下の金額で再入力してください。" prompt="＊単価が複数の場合は平均(整数)で記入" sqref="G10" xr:uid="{08965E3E-BD67-465B-B329-A44D5392FAB9}">
      <formula1>G9+G10&lt;=15000</formula1>
    </dataValidation>
    <dataValidation type="custom" imeMode="disabled" allowBlank="1" showInputMessage="1" showErrorMessage="1" errorTitle="上限を超えています。" error="宿泊費と日当をあわせて15,000円以下の金額で再入力してください。" prompt="＊単価が複数の場合は平均(整数)で記入" sqref="G9" xr:uid="{FDD5A2DE-A036-46F8-A7B2-EC42EB53A74F}">
      <formula1>SUM(G9:G10)&lt;=15000</formula1>
    </dataValidation>
    <dataValidation type="custom" imeMode="disabled" operator="lessThanOrEqual" allowBlank="1" showInputMessage="1" showErrorMessage="1" errorTitle="上限を超えています。" error="宿泊費と日当をあわせて15,000円以下の金額で再入力してください。" prompt="＊単価が複数の場合は平均(整数)で記入" sqref="G12" xr:uid="{94D042BA-EFA9-4615-ADAE-09ECE4D4E66B}">
      <formula1>SUM(G12:G13)&lt;=15000</formula1>
    </dataValidation>
    <dataValidation type="custom" imeMode="disabled" operator="greaterThanOrEqual" allowBlank="1" showInputMessage="1" showErrorMessage="1" errorTitle="上限を超えています。" error="人数を確認してください。" sqref="H15" xr:uid="{AA25F860-FDEB-41DA-8463-4124BE12199C}">
      <formula1>H15&lt;=K28*2</formula1>
    </dataValidation>
    <dataValidation type="whole" imeMode="disabled" allowBlank="1" showInputMessage="1" showErrorMessage="1" sqref="M5:M22" xr:uid="{14397A71-2EE9-4D82-B03A-9DD34A5705A5}">
      <formula1>0</formula1>
      <formula2>J5</formula2>
    </dataValidation>
    <dataValidation type="whole" errorStyle="information" imeMode="disabled" operator="lessThan" allowBlank="1" showInputMessage="1" showErrorMessage="1" errorTitle="注意事項" error="追加枠を申請する場合は_x000a_↓下段の「追加費用明細」及び　　「取り組みの詳細」への記入も忘れずにお願いします。" sqref="G18" xr:uid="{20712EA4-27B9-43C3-8F37-37D3F6C7B0CE}">
      <formula1>1</formula1>
    </dataValidation>
    <dataValidation type="whole" imeMode="disabled" allowBlank="1" showInputMessage="1" showErrorMessage="1" error="直接経費計の10％を超えています。" sqref="K23" xr:uid="{BDAC73F6-DE86-4EEE-9C5F-59E0A12E55C8}">
      <formula1>0</formula1>
      <formula2>SUM(L5:L22)*0.1</formula2>
    </dataValidation>
    <dataValidation type="whole" operator="greaterThanOrEqual" allowBlank="1" showInputMessage="1" showErrorMessage="1" sqref="AA32:AB33" xr:uid="{775D742D-2B70-4DFC-9130-459FAC24045C}">
      <formula1>0</formula1>
    </dataValidation>
  </dataValidations>
  <printOptions horizontalCentered="1"/>
  <pageMargins left="0.39370078740157483" right="0.39370078740157483" top="0.39370078740157483" bottom="0.39370078740157483" header="0.19685039370078741" footer="0.19685039370078741"/>
  <pageSetup paperSize="9" scale="86" fitToHeight="0" orientation="landscape" r:id="rId1"/>
  <headerFooter>
    <oddHeader>&amp;C&amp;9&amp;F</oddHeader>
    <oddFooter>&amp;C&amp;P/&amp;N</oddFooter>
  </headerFooter>
  <rowBreaks count="1" manualBreakCount="1">
    <brk id="28" max="16383" man="1"/>
  </rowBreaks>
  <ignoredErrors>
    <ignoredError sqref="L19" formulaRange="1"/>
    <ignoredError sqref="K26 N21 N14 N11" formula="1"/>
    <ignoredError sqref="K16" unlockedFormula="1"/>
  </ignoredErrors>
  <drawing r:id="rId2"/>
  <extLst>
    <ext xmlns:x14="http://schemas.microsoft.com/office/spreadsheetml/2009/9/main" uri="{CCE6A557-97BC-4b89-ADB6-D9C93CAAB3DF}">
      <x14:dataValidations xmlns:xm="http://schemas.microsoft.com/office/excel/2006/main" count="2">
        <x14:dataValidation type="custom" imeMode="disabled" operator="lessThanOrEqual" allowBlank="1" showInputMessage="1" showErrorMessage="1" errorTitle="入力できません。" error="Aコースは20,000円、B・Cコースは50,000円まで計上可能です。" xr:uid="{F6099C55-DFCE-4E2A-A0F9-F704073B1A89}">
          <x14:formula1>
            <xm:f>IF('8)招へい者リスト'!#REF!="A",G17&lt;20001,G17&lt;50001)</xm:f>
          </x14:formula1>
          <xm:sqref>G17</xm:sqref>
        </x14:dataValidation>
        <x14:dataValidation type="custom" imeMode="disabled" operator="lessThanOrEqual" allowBlank="1" showInputMessage="1" showErrorMessage="1" errorTitle="入力できません。" error="Aコースは20,000円、B・Cコースは50,000円まで計上可能です。" xr:uid="{0D988734-9362-4B0F-8B10-C1DAC4DBF46B}">
          <x14:formula1>
            <xm:f>IF('8)招へい者リスト'!S1="A",G16&lt;20001,G16&lt;50001)</xm:f>
          </x14:formula1>
          <xm:sqref>G16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B3973-D917-4005-82E0-439E1DA2D604}">
  <sheetPr codeName="Sheet8">
    <pageSetUpPr fitToPage="1"/>
  </sheetPr>
  <dimension ref="A1:AQ81"/>
  <sheetViews>
    <sheetView showGridLines="0" view="pageBreakPreview" zoomScaleNormal="100" zoomScaleSheetLayoutView="100" workbookViewId="0">
      <pane ySplit="2" topLeftCell="A4" activePane="bottomLeft" state="frozen"/>
      <selection pane="bottomLeft"/>
    </sheetView>
  </sheetViews>
  <sheetFormatPr defaultColWidth="0" defaultRowHeight="15.75"/>
  <cols>
    <col min="1" max="1" width="3.77734375" customWidth="1"/>
    <col min="2" max="2" width="28.21875" customWidth="1"/>
    <col min="3" max="3" width="7.6640625" customWidth="1"/>
    <col min="4" max="4" width="5.77734375" customWidth="1"/>
    <col min="5" max="7" width="8.77734375" customWidth="1"/>
    <col min="8" max="8" width="6.77734375" customWidth="1"/>
    <col min="9" max="9" width="19.44140625" customWidth="1"/>
    <col min="10" max="10" width="10.21875" customWidth="1"/>
    <col min="11" max="11" width="2.77734375" customWidth="1"/>
    <col min="12" max="12" width="6.77734375" customWidth="1"/>
    <col min="13" max="13" width="3.6640625" customWidth="1"/>
    <col min="14" max="14" width="1.21875" customWidth="1"/>
    <col min="15" max="15" width="5.5546875" customWidth="1"/>
    <col min="16" max="16" width="5.5546875" hidden="1" customWidth="1"/>
    <col min="17" max="18" width="7.77734375" customWidth="1"/>
    <col min="19" max="19" width="34" style="324" customWidth="1"/>
    <col min="20" max="20" width="9.21875" style="324" customWidth="1"/>
    <col min="21" max="21" width="3.6640625" style="324" customWidth="1"/>
    <col min="22" max="22" width="8" style="324" customWidth="1"/>
    <col min="23" max="23" width="8.6640625" style="324" customWidth="1"/>
    <col min="24" max="24" width="3.109375" style="324" customWidth="1"/>
    <col min="25" max="25" width="7.6640625" style="324" customWidth="1"/>
    <col min="26" max="26" width="4.6640625" style="324" customWidth="1"/>
    <col min="27" max="27" width="3.5546875" style="324" customWidth="1"/>
    <col min="28" max="28" width="8" style="324" customWidth="1"/>
    <col min="29" max="29" width="7.88671875" style="324" customWidth="1"/>
    <col min="30" max="31" width="7.6640625" style="324" customWidth="1"/>
    <col min="32" max="32" width="3.5546875" style="324" customWidth="1"/>
    <col min="33" max="33" width="4.88671875" style="324" bestFit="1" customWidth="1"/>
    <col min="34" max="34" width="3.44140625" style="324" customWidth="1"/>
    <col min="35" max="35" width="4.88671875" style="324" customWidth="1"/>
    <col min="36" max="36" width="3.44140625" style="324" customWidth="1"/>
    <col min="37" max="37" width="1.33203125" style="324" customWidth="1"/>
    <col min="38" max="38" width="7.33203125" style="324" customWidth="1"/>
    <col min="39" max="39" width="4.6640625" style="324" bestFit="1" customWidth="1"/>
    <col min="40" max="40" width="6.21875" style="324" customWidth="1"/>
    <col min="41" max="41" width="4" style="324" bestFit="1" customWidth="1"/>
    <col min="42" max="42" width="8.88671875" style="324" customWidth="1"/>
    <col min="43" max="43" width="1.33203125" style="324" customWidth="1"/>
    <col min="44" max="16384" width="8.88671875" hidden="1"/>
  </cols>
  <sheetData>
    <row r="1" spans="1:25" ht="16.5" customHeight="1">
      <c r="A1" s="471"/>
      <c r="B1" s="1157" t="s">
        <v>54</v>
      </c>
      <c r="C1" s="1158"/>
      <c r="D1" s="1156" t="s">
        <v>618</v>
      </c>
      <c r="E1" s="1156" t="s">
        <v>167</v>
      </c>
      <c r="F1" s="1156" t="s">
        <v>169</v>
      </c>
      <c r="G1" s="1156" t="s">
        <v>168</v>
      </c>
      <c r="H1" s="1156" t="s">
        <v>170</v>
      </c>
      <c r="I1" s="1156" t="s">
        <v>68</v>
      </c>
      <c r="J1" s="1148" t="s">
        <v>52</v>
      </c>
      <c r="K1" s="1160"/>
      <c r="L1" s="1148" t="s">
        <v>53</v>
      </c>
      <c r="M1" s="1150" t="s">
        <v>88</v>
      </c>
      <c r="N1" s="1151"/>
      <c r="O1" s="1154" t="s">
        <v>87</v>
      </c>
      <c r="P1" s="473"/>
      <c r="Q1" s="1156" t="s">
        <v>86</v>
      </c>
      <c r="R1" s="1156"/>
      <c r="S1" s="519" t="str">
        <f>IF(I7="科学技術体験コース（Ａコース）","A",IF(I7="共同研究活動コース（Ｂコース）","B",IF(I7="科学技術研修コース（Ｃコース）","C","※未選択※")))</f>
        <v>※未選択※</v>
      </c>
      <c r="T1" s="366"/>
      <c r="U1" s="366"/>
    </row>
    <row r="2" spans="1:25" ht="26.1" customHeight="1">
      <c r="A2" s="474"/>
      <c r="B2" s="472" t="s">
        <v>540</v>
      </c>
      <c r="C2" s="475" t="s">
        <v>539</v>
      </c>
      <c r="D2" s="1159"/>
      <c r="E2" s="1159"/>
      <c r="F2" s="1156"/>
      <c r="G2" s="1156"/>
      <c r="H2" s="1156"/>
      <c r="I2" s="1156"/>
      <c r="J2" s="1149"/>
      <c r="K2" s="1161"/>
      <c r="L2" s="1149"/>
      <c r="M2" s="1152"/>
      <c r="N2" s="1153"/>
      <c r="O2" s="1155"/>
      <c r="P2" s="476"/>
      <c r="Q2" s="1156"/>
      <c r="R2" s="1156"/>
    </row>
    <row r="3" spans="1:25" ht="16.5" hidden="1" customHeight="1"/>
    <row r="4" spans="1:25" ht="18" customHeight="1">
      <c r="A4" s="460"/>
      <c r="B4" s="88"/>
      <c r="C4" s="89"/>
      <c r="D4" s="89"/>
      <c r="E4" s="89"/>
      <c r="F4" s="89"/>
      <c r="G4" s="89"/>
      <c r="H4" s="89"/>
      <c r="I4" s="89"/>
      <c r="J4" s="89"/>
      <c r="K4" s="89"/>
      <c r="L4" s="89"/>
      <c r="M4" s="89"/>
      <c r="N4" s="89"/>
      <c r="O4" s="89"/>
      <c r="P4" s="89"/>
      <c r="R4" s="33" t="str">
        <f>'1)受入れ機関概要'!G1</f>
        <v>Ver.2501</v>
      </c>
    </row>
    <row r="5" spans="1:25" ht="18" customHeight="1">
      <c r="A5" s="90" t="s">
        <v>162</v>
      </c>
      <c r="B5" s="91"/>
      <c r="C5" s="91"/>
      <c r="D5" s="91"/>
      <c r="E5" s="91"/>
      <c r="F5" s="91"/>
      <c r="G5" s="91"/>
      <c r="H5" s="91"/>
      <c r="I5" s="91"/>
      <c r="J5" s="91"/>
      <c r="K5" s="91"/>
      <c r="L5" s="91"/>
      <c r="M5" s="91"/>
      <c r="N5" s="91"/>
      <c r="O5" s="91"/>
      <c r="P5" s="91"/>
      <c r="Q5" s="91"/>
      <c r="R5" s="55" t="str">
        <f>IF(COUNTIF($S$7:$S$16, "")&lt;10,"【３）招へい者】の情報と一致していません。","")</f>
        <v/>
      </c>
      <c r="S5" s="479"/>
    </row>
    <row r="6" spans="1:25" ht="10.5" customHeight="1">
      <c r="A6" s="92"/>
      <c r="B6" s="92"/>
      <c r="C6" s="92"/>
      <c r="D6" s="92"/>
      <c r="E6" s="92"/>
      <c r="F6" s="92"/>
      <c r="G6" s="92"/>
      <c r="H6" s="92"/>
      <c r="I6" s="92"/>
      <c r="J6" s="92"/>
      <c r="K6" s="92"/>
      <c r="L6" s="93"/>
      <c r="M6" s="93"/>
      <c r="N6" s="93"/>
      <c r="O6" s="93"/>
      <c r="P6" s="93"/>
      <c r="Q6" s="94"/>
    </row>
    <row r="7" spans="1:25" ht="13.5" customHeight="1">
      <c r="A7" s="1126" t="s">
        <v>586</v>
      </c>
      <c r="B7" s="1126"/>
      <c r="C7" s="458"/>
      <c r="D7" s="1102" t="str">
        <f>'1)受入れ機関概要'!C5</f>
        <v>(申請時記入不要)</v>
      </c>
      <c r="E7" s="1102"/>
      <c r="F7" s="1094" t="str">
        <f>'1)受入れ機関概要'!$C$8</f>
        <v>(入国日)</v>
      </c>
      <c r="G7" s="1096" t="str">
        <f>'1)受入れ機関概要'!$F$8</f>
        <v>(出国日)</v>
      </c>
      <c r="H7" s="1098" t="str">
        <f>'1)受入れ機関概要'!G8</f>
        <v/>
      </c>
      <c r="I7" s="1100" t="str">
        <f>'1)受入れ機関概要'!C7</f>
        <v>※選択してください</v>
      </c>
      <c r="J7" s="1100"/>
      <c r="M7" s="1134"/>
      <c r="N7" s="1135"/>
      <c r="O7" s="1135"/>
      <c r="P7" s="216"/>
      <c r="Q7" s="217" t="s">
        <v>490</v>
      </c>
      <c r="R7" s="218" t="s">
        <v>491</v>
      </c>
      <c r="S7" s="480" t="str">
        <f>IF(COUNTIF('3)招へい者4)受入れ体制'!O5:O16,"×")&gt;0,"　 「機関別人数」不一致","")</f>
        <v/>
      </c>
    </row>
    <row r="8" spans="1:25" ht="13.5" customHeight="1">
      <c r="A8" s="1127"/>
      <c r="B8" s="1127"/>
      <c r="C8" s="459"/>
      <c r="D8" s="1103"/>
      <c r="E8" s="1103"/>
      <c r="F8" s="1095"/>
      <c r="G8" s="1097"/>
      <c r="H8" s="1099"/>
      <c r="I8" s="1101"/>
      <c r="J8" s="1101"/>
      <c r="M8" s="1132" t="s">
        <v>12</v>
      </c>
      <c r="N8" s="1133"/>
      <c r="O8" s="1133"/>
      <c r="P8" s="215"/>
      <c r="Q8" s="221">
        <f>COUNTIF($L$19:$L$46,$M8)</f>
        <v>0</v>
      </c>
      <c r="R8" s="222">
        <f t="shared" ref="R8:R14" si="0">COUNTIF($L$51:$L$65,$M8)</f>
        <v>0</v>
      </c>
      <c r="S8" s="481" t="str">
        <f>IF(L19="","",IF('1)受入れ機関概要'!A3="交流計画書","",IF($Q$8='3)招へい者4)受入れ体制'!$E$31,"","←「高校生人数」不一致")))</f>
        <v/>
      </c>
      <c r="T8" s="481"/>
    </row>
    <row r="9" spans="1:25" ht="13.5" customHeight="1">
      <c r="A9" s="1144" t="s">
        <v>70</v>
      </c>
      <c r="B9" s="1144"/>
      <c r="C9" s="1144"/>
      <c r="D9" s="1105" t="str">
        <f>IF(OR('1)受入れ機関概要'!C11="(交流計画を実施する機関)",'1)受入れ機関概要'!C11=""),"※1)受入れ機関概要で受入れ機関名（日本語）を入力してください",'1)受入れ機関概要'!C11)</f>
        <v>※1)受入れ機関概要で受入れ機関名（日本語）を入力してください</v>
      </c>
      <c r="E9" s="1105"/>
      <c r="F9" s="1105"/>
      <c r="G9" s="1105"/>
      <c r="H9" s="1105"/>
      <c r="I9" s="1105"/>
      <c r="J9" s="1105"/>
      <c r="M9" s="1128" t="s">
        <v>13</v>
      </c>
      <c r="N9" s="1129"/>
      <c r="O9" s="1129"/>
      <c r="P9" s="215"/>
      <c r="Q9" s="221">
        <f t="shared" ref="Q9:Q14" si="1">COUNTIF($L$19:$L$46,$M9)</f>
        <v>0</v>
      </c>
      <c r="R9" s="222">
        <f t="shared" si="0"/>
        <v>0</v>
      </c>
      <c r="S9" s="481" t="str">
        <f>IF(L19="","",IF($Q$9='3)招へい者4)受入れ体制'!$F$31,"","←「大学生人数」不一致"))</f>
        <v/>
      </c>
      <c r="T9" s="481"/>
    </row>
    <row r="10" spans="1:25" ht="13.5" customHeight="1">
      <c r="A10" s="1144"/>
      <c r="B10" s="1144"/>
      <c r="C10" s="1144"/>
      <c r="D10" s="1101"/>
      <c r="E10" s="1101"/>
      <c r="F10" s="1101"/>
      <c r="G10" s="1101"/>
      <c r="H10" s="1101"/>
      <c r="I10" s="1101"/>
      <c r="J10" s="1101"/>
      <c r="M10" s="1128" t="s">
        <v>492</v>
      </c>
      <c r="N10" s="1129"/>
      <c r="O10" s="1129"/>
      <c r="P10" s="215"/>
      <c r="Q10" s="221">
        <f t="shared" si="1"/>
        <v>0</v>
      </c>
      <c r="R10" s="222">
        <f t="shared" si="0"/>
        <v>0</v>
      </c>
      <c r="S10" s="481" t="str">
        <f>IF(L19="","",IF($Q$10='3)招へい者4)受入れ体制'!$G$31,"","←「大学院生人数」不一致"))</f>
        <v/>
      </c>
      <c r="T10" s="481"/>
    </row>
    <row r="11" spans="1:25" ht="13.5" customHeight="1">
      <c r="A11" s="1116" t="s">
        <v>214</v>
      </c>
      <c r="B11" s="1116"/>
      <c r="C11" s="1116"/>
      <c r="D11" s="1105" t="str">
        <f>IF(OR('1)受入れ機関概要'!C12="(招へい者に授与する修了証に記載される名称　※上記受入れ機関名と異なっても構いません。)",'1)受入れ機関概要'!C12=""),"※1)受入れ機関概要で受入れ機関名（英語）を入力してください",'1)受入れ機関概要'!C12)</f>
        <v>※1)受入れ機関概要で受入れ機関名（英語）を入力してください</v>
      </c>
      <c r="E11" s="1105"/>
      <c r="F11" s="1105"/>
      <c r="G11" s="1105"/>
      <c r="H11" s="1105"/>
      <c r="I11" s="1105"/>
      <c r="J11" s="1105"/>
      <c r="M11" s="1128" t="s">
        <v>493</v>
      </c>
      <c r="N11" s="1129"/>
      <c r="O11" s="1129"/>
      <c r="P11" s="215"/>
      <c r="Q11" s="221">
        <f t="shared" si="1"/>
        <v>0</v>
      </c>
      <c r="R11" s="222">
        <f t="shared" si="0"/>
        <v>0</v>
      </c>
      <c r="S11" s="481" t="str">
        <f>IF(L19="","",IF($Q$11='3)招へい者4)受入れ体制'!$H$31,"","←「ポスドク人数」不一致"))</f>
        <v/>
      </c>
      <c r="T11" s="481"/>
    </row>
    <row r="12" spans="1:25" ht="13.5" customHeight="1">
      <c r="A12" s="1116"/>
      <c r="B12" s="1116"/>
      <c r="C12" s="1116"/>
      <c r="D12" s="1101"/>
      <c r="E12" s="1101"/>
      <c r="F12" s="1101"/>
      <c r="G12" s="1101"/>
      <c r="H12" s="1101"/>
      <c r="I12" s="1101"/>
      <c r="J12" s="1101"/>
      <c r="M12" s="1128" t="s">
        <v>16</v>
      </c>
      <c r="N12" s="1129"/>
      <c r="O12" s="1129"/>
      <c r="P12" s="215"/>
      <c r="Q12" s="221">
        <f t="shared" si="1"/>
        <v>0</v>
      </c>
      <c r="R12" s="222">
        <f t="shared" si="0"/>
        <v>0</v>
      </c>
      <c r="S12" s="481" t="str">
        <f>IF(L19="","",IF($Q$12='3)招へい者4)受入れ体制'!$I$31,"","←「教員人数」不一致"))</f>
        <v/>
      </c>
    </row>
    <row r="13" spans="1:25" ht="13.5" customHeight="1">
      <c r="A13" s="1116" t="s">
        <v>232</v>
      </c>
      <c r="B13" s="1116"/>
      <c r="C13" s="1118" t="s">
        <v>129</v>
      </c>
      <c r="D13" s="1123" t="s">
        <v>585</v>
      </c>
      <c r="E13" s="1123"/>
      <c r="F13" s="1123"/>
      <c r="G13" s="1123"/>
      <c r="H13" s="1123"/>
      <c r="I13" s="1123"/>
      <c r="J13" s="1123"/>
      <c r="M13" s="1128" t="s">
        <v>17</v>
      </c>
      <c r="N13" s="1129"/>
      <c r="O13" s="1129"/>
      <c r="P13" s="215"/>
      <c r="Q13" s="221">
        <f t="shared" si="1"/>
        <v>0</v>
      </c>
      <c r="R13" s="222">
        <f t="shared" si="0"/>
        <v>0</v>
      </c>
      <c r="S13" s="481" t="str">
        <f>IF(L19="","",IF($Q$13='3)招へい者4)受入れ体制'!$J$31,"","←「研究者人数」不一致"))</f>
        <v/>
      </c>
      <c r="T13" s="481"/>
    </row>
    <row r="14" spans="1:25" ht="13.5" customHeight="1" thickBot="1">
      <c r="A14" s="1117"/>
      <c r="B14" s="1117"/>
      <c r="C14" s="1119"/>
      <c r="D14" s="1124"/>
      <c r="E14" s="1124"/>
      <c r="F14" s="1124"/>
      <c r="G14" s="1124"/>
      <c r="H14" s="1124"/>
      <c r="I14" s="1124"/>
      <c r="J14" s="1124"/>
      <c r="M14" s="1142" t="s">
        <v>18</v>
      </c>
      <c r="N14" s="1143"/>
      <c r="O14" s="1143"/>
      <c r="P14" s="220"/>
      <c r="Q14" s="223">
        <f t="shared" si="1"/>
        <v>0</v>
      </c>
      <c r="R14" s="224">
        <f t="shared" si="0"/>
        <v>0</v>
      </c>
      <c r="S14" s="481" t="str">
        <f>IF(L19="","",IF($Q$14='3)招へい者4)受入れ体制'!$K$31,"","←「その他人数」不一致"))</f>
        <v/>
      </c>
      <c r="T14" s="481"/>
      <c r="Y14" s="1146" t="s">
        <v>541</v>
      </c>
    </row>
    <row r="15" spans="1:25" ht="15" customHeight="1" thickTop="1">
      <c r="A15" s="93"/>
      <c r="B15" s="93"/>
      <c r="C15" s="93"/>
      <c r="D15" s="93"/>
      <c r="E15" s="93"/>
      <c r="F15" s="93"/>
      <c r="G15" s="93"/>
      <c r="H15" s="93"/>
      <c r="I15" s="93"/>
      <c r="J15" s="93"/>
      <c r="M15" s="1140" t="s">
        <v>494</v>
      </c>
      <c r="N15" s="1141"/>
      <c r="O15" s="1141"/>
      <c r="P15" s="219"/>
      <c r="Q15" s="225">
        <f>SUM(Q8:Q14)</f>
        <v>0</v>
      </c>
      <c r="R15" s="227">
        <f>SUM(R8:R14)</f>
        <v>0</v>
      </c>
      <c r="S15" s="481" t="str">
        <f>IF($R15='3)招へい者4)受入れ体制'!$D$34,"","←「自己資金招へい者人数」不一致")</f>
        <v/>
      </c>
      <c r="Y15" s="1146"/>
    </row>
    <row r="16" spans="1:25" ht="21" customHeight="1">
      <c r="A16" s="226" t="s">
        <v>497</v>
      </c>
      <c r="B16" s="93"/>
      <c r="C16" s="93"/>
      <c r="D16" s="93"/>
      <c r="E16" s="93"/>
      <c r="F16" s="93"/>
      <c r="G16" s="93"/>
      <c r="H16" s="93"/>
      <c r="I16" s="93"/>
      <c r="J16" s="1125" cm="1">
        <f t="array" ref="J16">COUNTA(_xlfn.UNIQUE(_xlfn._xlws.FILTER(I19:I65,I19:I65&lt;&gt;"")))-1</f>
        <v>0</v>
      </c>
      <c r="K16" s="1125"/>
      <c r="L16" s="1125"/>
      <c r="M16" s="1125"/>
      <c r="N16" s="1125"/>
      <c r="O16" s="1125"/>
      <c r="P16" s="439"/>
      <c r="Q16" s="440">
        <f>COUNTIF($O$19:$O$30,"引率者")</f>
        <v>0</v>
      </c>
      <c r="R16" s="440">
        <f>COUNTIF($O$51:$O$65,"引率者")</f>
        <v>0</v>
      </c>
      <c r="S16" s="482" t="str">
        <f>IF(Q16&gt;2,"←JST支援の引率者人数上限を超えています。",IF((Q16+R16)&gt;J16,"←引率者は1機関1名までです。",""))</f>
        <v/>
      </c>
      <c r="Y16" s="1146"/>
    </row>
    <row r="17" spans="1:43" ht="14.25" customHeight="1">
      <c r="A17" s="1114" t="s">
        <v>51</v>
      </c>
      <c r="B17" s="877" t="s">
        <v>54</v>
      </c>
      <c r="C17" s="938"/>
      <c r="D17" s="1120" t="s">
        <v>618</v>
      </c>
      <c r="E17" s="1120" t="s">
        <v>167</v>
      </c>
      <c r="F17" s="1120" t="s">
        <v>169</v>
      </c>
      <c r="G17" s="1120" t="s">
        <v>168</v>
      </c>
      <c r="H17" s="1120" t="s">
        <v>170</v>
      </c>
      <c r="I17" s="1120" t="s">
        <v>68</v>
      </c>
      <c r="J17" s="1110" t="s">
        <v>52</v>
      </c>
      <c r="K17" s="1121"/>
      <c r="L17" s="1110" t="s">
        <v>53</v>
      </c>
      <c r="M17" s="1136" t="s">
        <v>88</v>
      </c>
      <c r="N17" s="1137"/>
      <c r="O17" s="1130" t="s">
        <v>87</v>
      </c>
      <c r="P17" s="228"/>
      <c r="Q17" s="1120" t="s">
        <v>86</v>
      </c>
      <c r="R17" s="1120"/>
      <c r="S17" s="483"/>
      <c r="T17" s="484" t="s">
        <v>143</v>
      </c>
      <c r="U17" s="485"/>
      <c r="V17" s="485"/>
      <c r="W17" s="485"/>
      <c r="X17" s="485"/>
      <c r="Y17" s="1147"/>
      <c r="Z17" s="486"/>
      <c r="AA17" s="486"/>
      <c r="AB17" s="486"/>
      <c r="AC17" s="486"/>
      <c r="AD17" s="486"/>
      <c r="AE17" s="486"/>
      <c r="AF17" s="486"/>
      <c r="AG17" s="486"/>
      <c r="AH17" s="485"/>
      <c r="AI17" s="485"/>
      <c r="AL17" s="484" t="s">
        <v>538</v>
      </c>
    </row>
    <row r="18" spans="1:43" ht="27" customHeight="1" thickBot="1">
      <c r="A18" s="1115"/>
      <c r="B18" s="84" t="s">
        <v>540</v>
      </c>
      <c r="C18" s="83" t="s">
        <v>539</v>
      </c>
      <c r="D18" s="937"/>
      <c r="E18" s="937"/>
      <c r="F18" s="1120"/>
      <c r="G18" s="1120"/>
      <c r="H18" s="1120"/>
      <c r="I18" s="1120"/>
      <c r="J18" s="1111"/>
      <c r="K18" s="1122"/>
      <c r="L18" s="1111"/>
      <c r="M18" s="1138"/>
      <c r="N18" s="1139"/>
      <c r="O18" s="1131"/>
      <c r="P18" s="229"/>
      <c r="Q18" s="1120"/>
      <c r="R18" s="1120"/>
      <c r="S18" s="356"/>
      <c r="T18" s="56" t="s">
        <v>144</v>
      </c>
      <c r="U18" s="56" t="s">
        <v>145</v>
      </c>
      <c r="V18" s="56" t="s">
        <v>217</v>
      </c>
      <c r="W18" s="56" t="s">
        <v>218</v>
      </c>
      <c r="X18" s="56" t="s">
        <v>146</v>
      </c>
      <c r="Y18" s="56" t="s">
        <v>157</v>
      </c>
      <c r="Z18" s="56" t="s">
        <v>147</v>
      </c>
      <c r="AA18" s="57" t="s">
        <v>148</v>
      </c>
      <c r="AB18" s="58" t="s">
        <v>149</v>
      </c>
      <c r="AC18" s="56" t="s">
        <v>150</v>
      </c>
      <c r="AD18" s="59" t="s">
        <v>151</v>
      </c>
      <c r="AE18" s="60" t="s">
        <v>64</v>
      </c>
      <c r="AF18" s="56" t="s">
        <v>152</v>
      </c>
      <c r="AG18" s="57" t="s">
        <v>153</v>
      </c>
      <c r="AH18" s="56" t="s">
        <v>154</v>
      </c>
      <c r="AI18" s="56" t="s">
        <v>155</v>
      </c>
      <c r="AJ18" s="56" t="s">
        <v>156</v>
      </c>
      <c r="AL18" s="56" t="s">
        <v>144</v>
      </c>
      <c r="AM18" s="56" t="s">
        <v>145</v>
      </c>
      <c r="AN18" s="56" t="s">
        <v>559</v>
      </c>
      <c r="AO18" s="56" t="s">
        <v>146</v>
      </c>
      <c r="AP18" s="56" t="s">
        <v>157</v>
      </c>
    </row>
    <row r="19" spans="1:43" ht="18.75" customHeight="1" thickTop="1">
      <c r="A19" s="109">
        <v>1</v>
      </c>
      <c r="B19" s="51"/>
      <c r="C19" s="404"/>
      <c r="D19" s="52"/>
      <c r="E19" s="53"/>
      <c r="F19" s="54" t="str">
        <f>IF(A19&gt;'3)招へい者4)受入れ体制'!$L$31,"",'1)受入れ機関概要'!$C$8)</f>
        <v/>
      </c>
      <c r="G19" s="54" t="str">
        <f>IF(A19&gt;'3)招へい者4)受入れ体制'!$L$31,"",'1)受入れ機関概要'!$F$8)</f>
        <v/>
      </c>
      <c r="H19" s="115" t="str">
        <f>IF(G19="(出国日)","日程未設定",IF(G19="","",G19-F19+1))</f>
        <v/>
      </c>
      <c r="I19" s="51"/>
      <c r="J19" s="1091"/>
      <c r="K19" s="1091"/>
      <c r="L19" s="461"/>
      <c r="M19" s="1092" t="str">
        <f t="shared" ref="M19:M20" si="2">IF(OR(E19="",F19="(入国日)"),"",DATEDIF(E19,F19,"Y"))</f>
        <v/>
      </c>
      <c r="N19" s="1092"/>
      <c r="O19" s="52"/>
      <c r="P19" s="230"/>
      <c r="Q19" s="1112"/>
      <c r="R19" s="1112"/>
      <c r="T19" s="291" t="str">
        <f>IF(Y19="","",$D$7)</f>
        <v/>
      </c>
      <c r="U19" s="292" t="str">
        <f t="shared" ref="U19:U30" si="3">IF(Y19="","",$S$1)</f>
        <v/>
      </c>
      <c r="V19" s="292" t="str">
        <f>IF(Y19="","",$D$9)</f>
        <v/>
      </c>
      <c r="W19" s="292" t="str">
        <f>IF(Y19="","",$D$11)</f>
        <v/>
      </c>
      <c r="X19" s="292" t="str">
        <f>IF(Y19="","",INDEX($A$19:$R$30,1,1))</f>
        <v/>
      </c>
      <c r="Y19" s="292" t="str">
        <f>IF(INDEX($A$19:$R$30,1,2)="","",UPPER(CLEAN(TRIM(ASC(INDEX($A$19:$R$30,1,2))))))</f>
        <v/>
      </c>
      <c r="Z19" s="293" t="str" cm="1">
        <f t="array" ref="Z19">IF(X19="","",IF(INDEX($A$19:$R$30,X19,3)="","",INDEX($A$19:$R$30,X19,3)))</f>
        <v/>
      </c>
      <c r="AA19" s="292" t="str" cm="1">
        <f t="array" ref="AA19">IFERROR(INDEX($A$19:$R$30,X19,4),"")</f>
        <v/>
      </c>
      <c r="AB19" s="294" t="str" cm="1">
        <f t="array" ref="AB19">IFERROR(INDEX($A$19:$R$30,X19,5),"")</f>
        <v/>
      </c>
      <c r="AC19" s="292" t="str" cm="1">
        <f t="array" ref="AC19">IFERROR(INDEX($A$19:$R$30,X19,9),"")</f>
        <v/>
      </c>
      <c r="AD19" s="294" t="str" cm="1">
        <f t="array" ref="AD19">IFERROR(INDEX($A$19:$R$30,X19,6),"")</f>
        <v/>
      </c>
      <c r="AE19" s="294" t="str" cm="1">
        <f t="array" ref="AE19">IFERROR(INDEX($A$19:$R$30,X19,7),"")</f>
        <v/>
      </c>
      <c r="AF19" s="292" t="str" cm="1">
        <f t="array" ref="AF19">IFERROR(INDEX($A$19:$R$30,X19,8),"")</f>
        <v/>
      </c>
      <c r="AG19" s="292" t="str" cm="1">
        <f t="array" ref="AG19">IFERROR(INDEX($A$19:$R$30,X19,10),"")</f>
        <v/>
      </c>
      <c r="AH19" s="292" t="str" cm="1">
        <f t="array" ref="AH19">IFERROR(INDEX($A$19:$R$30,X19,12),"")</f>
        <v/>
      </c>
      <c r="AI19" s="292" t="str" cm="1">
        <f t="array" ref="AI19">IF(X19="","",IF(INDEX($A$19:$R$30,X19,15)="","",INDEX($A$19:$R$30,X19,15)))</f>
        <v/>
      </c>
      <c r="AJ19" s="295" t="str" cm="1">
        <f t="array" ref="AJ19">IF(X19="","",IF(INDEX($A$19:$R$30,X19,17)="","",INDEX($A$19:$R$30,X19,17)))</f>
        <v/>
      </c>
      <c r="AL19" s="291" t="str">
        <f>T19</f>
        <v/>
      </c>
      <c r="AM19" s="292" t="str">
        <f>U19</f>
        <v/>
      </c>
      <c r="AN19" s="292" t="str">
        <f>V19</f>
        <v/>
      </c>
      <c r="AO19" s="292" t="str">
        <f>X19</f>
        <v/>
      </c>
      <c r="AP19" s="295" t="str">
        <f>Y19</f>
        <v/>
      </c>
    </row>
    <row r="20" spans="1:43" ht="18.75" customHeight="1">
      <c r="A20" s="109">
        <v>2</v>
      </c>
      <c r="B20" s="51"/>
      <c r="C20" s="404"/>
      <c r="D20" s="52"/>
      <c r="E20" s="53"/>
      <c r="F20" s="54" t="str">
        <f>IF(A20&gt;'3)招へい者4)受入れ体制'!$L$31,"",'1)受入れ機関概要'!$C$8)</f>
        <v/>
      </c>
      <c r="G20" s="54" t="str">
        <f>IF(A20&gt;'3)招へい者4)受入れ体制'!$L$31,"",'1)受入れ機関概要'!$F$8)</f>
        <v/>
      </c>
      <c r="H20" s="115" t="str">
        <f t="shared" ref="H20:H30" si="4">IF(G20="(出国日)","日程未設定",IF(G20="","",G20-F20+1))</f>
        <v/>
      </c>
      <c r="I20" s="51"/>
      <c r="J20" s="1091"/>
      <c r="K20" s="1091"/>
      <c r="L20" s="461"/>
      <c r="M20" s="1092" t="str">
        <f t="shared" si="2"/>
        <v/>
      </c>
      <c r="N20" s="1092"/>
      <c r="O20" s="52"/>
      <c r="P20" s="230"/>
      <c r="Q20" s="1112"/>
      <c r="R20" s="1112"/>
      <c r="T20" s="296" t="str">
        <f t="shared" ref="T20:T30" si="5">IF(Y20="","",$D$7)</f>
        <v/>
      </c>
      <c r="U20" s="95" t="str">
        <f t="shared" si="3"/>
        <v/>
      </c>
      <c r="V20" s="95" t="str">
        <f t="shared" ref="V20:V30" si="6">IF(Y20="","",$D$9)</f>
        <v/>
      </c>
      <c r="W20" s="95" t="str">
        <f t="shared" ref="W20:W30" si="7">IF(Y20="","",$D$11)</f>
        <v/>
      </c>
      <c r="X20" s="95" t="str">
        <f>IF(Y20="","",INDEX($A$19:$R$30,2,1))</f>
        <v/>
      </c>
      <c r="Y20" s="95" t="str">
        <f>IF(INDEX($A$19:$R$30,2,2)="","",UPPER(CLEAN(TRIM(ASC(INDEX($A$19:$R$30,2,2))))))</f>
        <v/>
      </c>
      <c r="Z20" s="96" t="str" cm="1">
        <f t="array" ref="Z20">IF(X20="","",IF(INDEX($A$19:$R$30,X20,3)="","",INDEX($A$19:$R$30,X20,3)))</f>
        <v/>
      </c>
      <c r="AA20" s="95" t="str" cm="1">
        <f t="array" ref="AA20">IFERROR(INDEX($A$19:$R$30,X20,4),"")</f>
        <v/>
      </c>
      <c r="AB20" s="97" t="str" cm="1">
        <f t="array" ref="AB20">IFERROR(INDEX($A$19:$R$30,X20,5),"")</f>
        <v/>
      </c>
      <c r="AC20" s="95" t="str" cm="1">
        <f t="array" ref="AC20">IFERROR(INDEX($A$19:$R$30,X20,9),"")</f>
        <v/>
      </c>
      <c r="AD20" s="97" t="str" cm="1">
        <f t="array" ref="AD20">IFERROR(INDEX($A$19:$R$30,X20,6),"")</f>
        <v/>
      </c>
      <c r="AE20" s="97" t="str" cm="1">
        <f t="array" ref="AE20">IFERROR(INDEX($A$19:$R$30,X20,7),"")</f>
        <v/>
      </c>
      <c r="AF20" s="95" t="str" cm="1">
        <f t="array" ref="AF20">IFERROR(INDEX($A$19:$R$30,X20,8),"")</f>
        <v/>
      </c>
      <c r="AG20" s="95" t="str" cm="1">
        <f t="array" ref="AG20">IFERROR(INDEX($A$19:$R$30,X20,10),"")</f>
        <v/>
      </c>
      <c r="AH20" s="95" t="str" cm="1">
        <f t="array" ref="AH20">IFERROR(INDEX($A$19:$R$30,X20,12),"")</f>
        <v/>
      </c>
      <c r="AI20" s="95" t="str" cm="1">
        <f t="array" ref="AI20">IF(X20="","",IF(INDEX($A$19:$R$30,X20,15)="","",INDEX($A$19:$R$30,X20,15)))</f>
        <v/>
      </c>
      <c r="AJ20" s="297" t="str" cm="1">
        <f t="array" ref="AJ20">IF(X20="","",IF(INDEX($A$19:$R$30,X20,17)="","",INDEX($A$19:$R$30,X20,17)))</f>
        <v/>
      </c>
      <c r="AL20" s="296" t="str">
        <f t="shared" ref="AL20:AL30" si="8">T20</f>
        <v/>
      </c>
      <c r="AM20" s="95" t="str">
        <f t="shared" ref="AM20:AM30" si="9">U20</f>
        <v/>
      </c>
      <c r="AN20" s="95" t="str">
        <f t="shared" ref="AN20:AN30" si="10">V20</f>
        <v/>
      </c>
      <c r="AO20" s="95" t="str">
        <f t="shared" ref="AO20:AO29" si="11">X20</f>
        <v/>
      </c>
      <c r="AP20" s="297" t="str">
        <f t="shared" ref="AP20:AP30" si="12">Y20</f>
        <v/>
      </c>
    </row>
    <row r="21" spans="1:43" ht="18.75" customHeight="1">
      <c r="A21" s="109">
        <v>3</v>
      </c>
      <c r="B21" s="51"/>
      <c r="C21" s="462"/>
      <c r="D21" s="52"/>
      <c r="E21" s="53"/>
      <c r="F21" s="54" t="str">
        <f>IF(A21&gt;'3)招へい者4)受入れ体制'!$L$31,"",'1)受入れ機関概要'!$C$8)</f>
        <v/>
      </c>
      <c r="G21" s="54" t="str">
        <f>IF(A21&gt;'3)招へい者4)受入れ体制'!$L$31,"",'1)受入れ機関概要'!$F$8)</f>
        <v/>
      </c>
      <c r="H21" s="115" t="str">
        <f t="shared" si="4"/>
        <v/>
      </c>
      <c r="I21" s="51"/>
      <c r="J21" s="1091"/>
      <c r="K21" s="1091"/>
      <c r="L21" s="461"/>
      <c r="M21" s="1092" t="str">
        <f t="shared" ref="M21:M30" si="13">IF(OR(E21="",F21="(入国日)"),"",DATEDIF(E21,F21,"Y"))</f>
        <v/>
      </c>
      <c r="N21" s="1092"/>
      <c r="O21" s="52"/>
      <c r="P21" s="230"/>
      <c r="Q21" s="1112"/>
      <c r="R21" s="1112"/>
      <c r="T21" s="296" t="str">
        <f t="shared" si="5"/>
        <v/>
      </c>
      <c r="U21" s="95" t="str">
        <f t="shared" si="3"/>
        <v/>
      </c>
      <c r="V21" s="95" t="str">
        <f t="shared" si="6"/>
        <v/>
      </c>
      <c r="W21" s="95" t="str">
        <f t="shared" si="7"/>
        <v/>
      </c>
      <c r="X21" s="95" t="str">
        <f>IF(Y21="","",INDEX($A$19:$R$30,3,1))</f>
        <v/>
      </c>
      <c r="Y21" s="95" t="str">
        <f>IF(INDEX($A$19:$R$30,3,2)="","",UPPER(CLEAN(TRIM(ASC(INDEX($A$19:$R$30,3,2))))))</f>
        <v/>
      </c>
      <c r="Z21" s="96" t="str" cm="1">
        <f t="array" ref="Z21">IF(X21="","",IF(INDEX($A$19:$R$30,X21,3)="","",INDEX($A$19:$R$30,X21,3)))</f>
        <v/>
      </c>
      <c r="AA21" s="95" t="str" cm="1">
        <f t="array" ref="AA21">IFERROR(INDEX($A$19:$R$30,X21,4),"")</f>
        <v/>
      </c>
      <c r="AB21" s="97" t="str" cm="1">
        <f t="array" ref="AB21">IFERROR(INDEX($A$19:$R$30,X21,5),"")</f>
        <v/>
      </c>
      <c r="AC21" s="95" t="str" cm="1">
        <f t="array" ref="AC21">IFERROR(INDEX($A$19:$R$30,X21,9),"")</f>
        <v/>
      </c>
      <c r="AD21" s="97" t="str" cm="1">
        <f t="array" ref="AD21">IFERROR(INDEX($A$19:$R$30,X21,6),"")</f>
        <v/>
      </c>
      <c r="AE21" s="97" t="str" cm="1">
        <f t="array" ref="AE21">IFERROR(INDEX($A$19:$R$30,X21,7),"")</f>
        <v/>
      </c>
      <c r="AF21" s="95" t="str" cm="1">
        <f t="array" ref="AF21">IFERROR(INDEX($A$19:$R$30,X21,8),"")</f>
        <v/>
      </c>
      <c r="AG21" s="95" t="str" cm="1">
        <f t="array" ref="AG21">IFERROR(INDEX($A$19:$R$30,X21,10),"")</f>
        <v/>
      </c>
      <c r="AH21" s="95" t="str" cm="1">
        <f t="array" ref="AH21">IFERROR(INDEX($A$19:$R$30,X21,12),"")</f>
        <v/>
      </c>
      <c r="AI21" s="95" t="str" cm="1">
        <f t="array" ref="AI21">IF(X21="","",IF(INDEX($A$19:$R$30,X21,15)="","",INDEX($A$19:$R$30,X21,15)))</f>
        <v/>
      </c>
      <c r="AJ21" s="297" t="str" cm="1">
        <f t="array" ref="AJ21">IF(X21="","",IF(INDEX($A$19:$R$30,X21,17)="","",INDEX($A$19:$R$30,X21,17)))</f>
        <v/>
      </c>
      <c r="AL21" s="296" t="str">
        <f t="shared" si="8"/>
        <v/>
      </c>
      <c r="AM21" s="95" t="str">
        <f t="shared" si="9"/>
        <v/>
      </c>
      <c r="AN21" s="95" t="str">
        <f t="shared" si="10"/>
        <v/>
      </c>
      <c r="AO21" s="95" t="str">
        <f t="shared" si="11"/>
        <v/>
      </c>
      <c r="AP21" s="297" t="str">
        <f t="shared" si="12"/>
        <v/>
      </c>
    </row>
    <row r="22" spans="1:43" ht="18.75" customHeight="1">
      <c r="A22" s="109">
        <v>4</v>
      </c>
      <c r="B22" s="51"/>
      <c r="C22" s="404"/>
      <c r="D22" s="52"/>
      <c r="E22" s="53"/>
      <c r="F22" s="54" t="str">
        <f>IF(A22&gt;'3)招へい者4)受入れ体制'!$L$31,"",'1)受入れ機関概要'!$C$8)</f>
        <v/>
      </c>
      <c r="G22" s="54" t="str">
        <f>IF(A22&gt;'3)招へい者4)受入れ体制'!$L$31,"",'1)受入れ機関概要'!$F$8)</f>
        <v/>
      </c>
      <c r="H22" s="115" t="str">
        <f t="shared" si="4"/>
        <v/>
      </c>
      <c r="I22" s="51"/>
      <c r="J22" s="1091"/>
      <c r="K22" s="1091"/>
      <c r="L22" s="461"/>
      <c r="M22" s="1092" t="str">
        <f t="shared" si="13"/>
        <v/>
      </c>
      <c r="N22" s="1092"/>
      <c r="O22" s="52"/>
      <c r="P22" s="230"/>
      <c r="Q22" s="1112"/>
      <c r="R22" s="1112"/>
      <c r="T22" s="296" t="str">
        <f t="shared" si="5"/>
        <v/>
      </c>
      <c r="U22" s="95" t="str">
        <f t="shared" si="3"/>
        <v/>
      </c>
      <c r="V22" s="95" t="str">
        <f t="shared" si="6"/>
        <v/>
      </c>
      <c r="W22" s="95" t="str">
        <f t="shared" si="7"/>
        <v/>
      </c>
      <c r="X22" s="95" t="str">
        <f>IF(Y22="","",INDEX($A$19:$R$30,4,1))</f>
        <v/>
      </c>
      <c r="Y22" s="95" t="str">
        <f>IF(INDEX($A$19:$R$30,4,2)="","",UPPER(CLEAN(TRIM(ASC(INDEX($A$19:$R$30,4,2))))))</f>
        <v/>
      </c>
      <c r="Z22" s="96" t="str" cm="1">
        <f t="array" ref="Z22">IF(X22="","",IF(INDEX($A$19:$R$30,X22,3)="","",INDEX($A$19:$R$30,X22,3)))</f>
        <v/>
      </c>
      <c r="AA22" s="95" t="str" cm="1">
        <f t="array" ref="AA22">IFERROR(INDEX($A$19:$R$30,X22,4),"")</f>
        <v/>
      </c>
      <c r="AB22" s="97" t="str" cm="1">
        <f t="array" ref="AB22">IFERROR(INDEX($A$19:$R$30,X22,5),"")</f>
        <v/>
      </c>
      <c r="AC22" s="95" t="str" cm="1">
        <f t="array" ref="AC22">IFERROR(INDEX($A$19:$R$30,X22,9),"")</f>
        <v/>
      </c>
      <c r="AD22" s="97" t="str" cm="1">
        <f t="array" ref="AD22">IFERROR(INDEX($A$19:$R$30,X22,6),"")</f>
        <v/>
      </c>
      <c r="AE22" s="97" t="str" cm="1">
        <f t="array" ref="AE22">IFERROR(INDEX($A$19:$R$30,X22,7),"")</f>
        <v/>
      </c>
      <c r="AF22" s="95" t="str" cm="1">
        <f t="array" ref="AF22">IFERROR(INDEX($A$19:$R$30,X22,8),"")</f>
        <v/>
      </c>
      <c r="AG22" s="95" t="str" cm="1">
        <f t="array" ref="AG22">IFERROR(INDEX($A$19:$R$30,X22,10),"")</f>
        <v/>
      </c>
      <c r="AH22" s="95" t="str" cm="1">
        <f t="array" ref="AH22">IFERROR(INDEX($A$19:$R$30,X22,12),"")</f>
        <v/>
      </c>
      <c r="AI22" s="95" t="str" cm="1">
        <f t="array" ref="AI22">IF(X22="","",IF(INDEX($A$19:$R$30,X22,15)="","",INDEX($A$19:$R$30,X22,15)))</f>
        <v/>
      </c>
      <c r="AJ22" s="297" t="str" cm="1">
        <f t="array" ref="AJ22">IF(X22="","",IF(INDEX($A$19:$R$30,X22,17)="","",INDEX($A$19:$R$30,X22,17)))</f>
        <v/>
      </c>
      <c r="AL22" s="296" t="str">
        <f t="shared" si="8"/>
        <v/>
      </c>
      <c r="AM22" s="95" t="str">
        <f t="shared" si="9"/>
        <v/>
      </c>
      <c r="AN22" s="95" t="str">
        <f t="shared" si="10"/>
        <v/>
      </c>
      <c r="AO22" s="95" t="str">
        <f t="shared" si="11"/>
        <v/>
      </c>
      <c r="AP22" s="297" t="str">
        <f t="shared" si="12"/>
        <v/>
      </c>
    </row>
    <row r="23" spans="1:43" ht="18.75" customHeight="1">
      <c r="A23" s="109">
        <v>5</v>
      </c>
      <c r="B23" s="51"/>
      <c r="C23" s="404"/>
      <c r="D23" s="52"/>
      <c r="E23" s="53"/>
      <c r="F23" s="54" t="str">
        <f>IF(A23&gt;'3)招へい者4)受入れ体制'!$L$31,"",'1)受入れ機関概要'!$C$8)</f>
        <v/>
      </c>
      <c r="G23" s="54" t="str">
        <f>IF(A23&gt;'3)招へい者4)受入れ体制'!$L$31,"",'1)受入れ機関概要'!$F$8)</f>
        <v/>
      </c>
      <c r="H23" s="115" t="str">
        <f t="shared" si="4"/>
        <v/>
      </c>
      <c r="I23" s="51"/>
      <c r="J23" s="1091"/>
      <c r="K23" s="1091"/>
      <c r="L23" s="461"/>
      <c r="M23" s="1092" t="str">
        <f t="shared" si="13"/>
        <v/>
      </c>
      <c r="N23" s="1092"/>
      <c r="O23" s="52"/>
      <c r="P23" s="230"/>
      <c r="Q23" s="1112"/>
      <c r="R23" s="1112"/>
      <c r="T23" s="296" t="str">
        <f t="shared" si="5"/>
        <v/>
      </c>
      <c r="U23" s="95" t="str">
        <f t="shared" si="3"/>
        <v/>
      </c>
      <c r="V23" s="95" t="str">
        <f t="shared" si="6"/>
        <v/>
      </c>
      <c r="W23" s="95" t="str">
        <f t="shared" si="7"/>
        <v/>
      </c>
      <c r="X23" s="95" t="str">
        <f>IF(Y23="","",INDEX($A$19:$R$30,5,1))</f>
        <v/>
      </c>
      <c r="Y23" s="95" t="str">
        <f>IF(INDEX($A$19:$R$30,5,2)="","",UPPER(CLEAN(TRIM(ASC(INDEX($A$19:$R$30,5,2))))))</f>
        <v/>
      </c>
      <c r="Z23" s="96" t="str" cm="1">
        <f t="array" ref="Z23">IF(X23="","",IF(INDEX($A$19:$R$30,X23,3)="","",INDEX($A$19:$R$30,X23,3)))</f>
        <v/>
      </c>
      <c r="AA23" s="95" t="str" cm="1">
        <f t="array" ref="AA23">IFERROR(INDEX($A$19:$R$30,X23,4),"")</f>
        <v/>
      </c>
      <c r="AB23" s="97" t="str" cm="1">
        <f t="array" ref="AB23">IFERROR(INDEX($A$19:$R$30,X23,5),"")</f>
        <v/>
      </c>
      <c r="AC23" s="95" t="str" cm="1">
        <f t="array" ref="AC23">IFERROR(INDEX($A$19:$R$30,X23,9),"")</f>
        <v/>
      </c>
      <c r="AD23" s="97" t="str" cm="1">
        <f t="array" ref="AD23">IFERROR(INDEX($A$19:$R$30,X23,6),"")</f>
        <v/>
      </c>
      <c r="AE23" s="97" t="str" cm="1">
        <f t="array" ref="AE23">IFERROR(INDEX($A$19:$R$30,X23,7),"")</f>
        <v/>
      </c>
      <c r="AF23" s="95" t="str" cm="1">
        <f t="array" ref="AF23">IFERROR(INDEX($A$19:$R$30,X23,8),"")</f>
        <v/>
      </c>
      <c r="AG23" s="95" t="str" cm="1">
        <f t="array" ref="AG23">IFERROR(INDEX($A$19:$R$30,X23,10),"")</f>
        <v/>
      </c>
      <c r="AH23" s="95" t="str" cm="1">
        <f t="array" ref="AH23">IFERROR(INDEX($A$19:$R$30,X23,12),"")</f>
        <v/>
      </c>
      <c r="AI23" s="95" t="str" cm="1">
        <f t="array" ref="AI23">IF(X23="","",IF(INDEX($A$19:$R$30,X23,15)="","",INDEX($A$19:$R$30,X23,15)))</f>
        <v/>
      </c>
      <c r="AJ23" s="297" t="str" cm="1">
        <f t="array" ref="AJ23">IF(X23="","",IF(INDEX($A$19:$R$30,X23,17)="","",INDEX($A$19:$R$30,X23,17)))</f>
        <v/>
      </c>
      <c r="AL23" s="296" t="str">
        <f t="shared" si="8"/>
        <v/>
      </c>
      <c r="AM23" s="95" t="str">
        <f t="shared" si="9"/>
        <v/>
      </c>
      <c r="AN23" s="95" t="str">
        <f t="shared" si="10"/>
        <v/>
      </c>
      <c r="AO23" s="95" t="str">
        <f t="shared" si="11"/>
        <v/>
      </c>
      <c r="AP23" s="297" t="str">
        <f t="shared" si="12"/>
        <v/>
      </c>
    </row>
    <row r="24" spans="1:43" ht="18.75" customHeight="1">
      <c r="A24" s="109">
        <v>6</v>
      </c>
      <c r="B24" s="51"/>
      <c r="C24" s="404"/>
      <c r="D24" s="52"/>
      <c r="E24" s="53"/>
      <c r="F24" s="54" t="str">
        <f>IF(A24&gt;'3)招へい者4)受入れ体制'!$L$31,"",'1)受入れ機関概要'!$C$8)</f>
        <v/>
      </c>
      <c r="G24" s="54" t="str">
        <f>IF(A24&gt;'3)招へい者4)受入れ体制'!$L$31,"",'1)受入れ機関概要'!$F$8)</f>
        <v/>
      </c>
      <c r="H24" s="115" t="str">
        <f t="shared" si="4"/>
        <v/>
      </c>
      <c r="I24" s="51"/>
      <c r="J24" s="1091"/>
      <c r="K24" s="1091"/>
      <c r="L24" s="461"/>
      <c r="M24" s="1092" t="str">
        <f t="shared" si="13"/>
        <v/>
      </c>
      <c r="N24" s="1092"/>
      <c r="O24" s="52"/>
      <c r="P24" s="230"/>
      <c r="Q24" s="1112"/>
      <c r="R24" s="1112"/>
      <c r="T24" s="296" t="str">
        <f t="shared" si="5"/>
        <v/>
      </c>
      <c r="U24" s="95" t="str">
        <f t="shared" si="3"/>
        <v/>
      </c>
      <c r="V24" s="95" t="str">
        <f t="shared" si="6"/>
        <v/>
      </c>
      <c r="W24" s="95" t="str">
        <f t="shared" si="7"/>
        <v/>
      </c>
      <c r="X24" s="95" t="str">
        <f>IF(Y24="","",INDEX($A$19:$R$30,6,1))</f>
        <v/>
      </c>
      <c r="Y24" s="95" t="str">
        <f>IF(INDEX($A$19:$R$30,6,2)="","",UPPER(CLEAN(TRIM(ASC(INDEX($A$19:$R$30,6,2))))))</f>
        <v/>
      </c>
      <c r="Z24" s="96" t="str" cm="1">
        <f t="array" ref="Z24">IF(X24="","",IF(INDEX($A$19:$R$30,X24,3)="","",INDEX($A$19:$R$30,X24,3)))</f>
        <v/>
      </c>
      <c r="AA24" s="95" t="str" cm="1">
        <f t="array" ref="AA24">IFERROR(INDEX($A$19:$R$30,X24,4),"")</f>
        <v/>
      </c>
      <c r="AB24" s="97" t="str" cm="1">
        <f t="array" ref="AB24">IFERROR(INDEX($A$19:$R$30,X24,5),"")</f>
        <v/>
      </c>
      <c r="AC24" s="95" t="str" cm="1">
        <f t="array" ref="AC24">IFERROR(INDEX($A$19:$R$30,X24,9),"")</f>
        <v/>
      </c>
      <c r="AD24" s="97" t="str" cm="1">
        <f t="array" ref="AD24">IFERROR(INDEX($A$19:$R$30,X24,6),"")</f>
        <v/>
      </c>
      <c r="AE24" s="97" t="str" cm="1">
        <f t="array" ref="AE24">IFERROR(INDEX($A$19:$R$30,X24,7),"")</f>
        <v/>
      </c>
      <c r="AF24" s="95" t="str" cm="1">
        <f t="array" ref="AF24">IFERROR(INDEX($A$19:$R$30,X24,8),"")</f>
        <v/>
      </c>
      <c r="AG24" s="95" t="str" cm="1">
        <f t="array" ref="AG24">IFERROR(INDEX($A$19:$R$30,X24,10),"")</f>
        <v/>
      </c>
      <c r="AH24" s="95" t="str" cm="1">
        <f t="array" ref="AH24">IFERROR(INDEX($A$19:$R$30,X24,12),"")</f>
        <v/>
      </c>
      <c r="AI24" s="95" t="str" cm="1">
        <f t="array" ref="AI24">IF(X24="","",IF(INDEX($A$19:$R$30,X24,15)="","",INDEX($A$19:$R$30,X24,15)))</f>
        <v/>
      </c>
      <c r="AJ24" s="297" t="str" cm="1">
        <f t="array" ref="AJ24">IF(X24="","",IF(INDEX($A$19:$R$30,X24,17)="","",INDEX($A$19:$R$30,X24,17)))</f>
        <v/>
      </c>
      <c r="AL24" s="296" t="str">
        <f t="shared" si="8"/>
        <v/>
      </c>
      <c r="AM24" s="95" t="str">
        <f t="shared" si="9"/>
        <v/>
      </c>
      <c r="AN24" s="95" t="str">
        <f t="shared" si="10"/>
        <v/>
      </c>
      <c r="AO24" s="95" t="str">
        <f t="shared" si="11"/>
        <v/>
      </c>
      <c r="AP24" s="297" t="str">
        <f t="shared" si="12"/>
        <v/>
      </c>
    </row>
    <row r="25" spans="1:43" ht="18.75" customHeight="1">
      <c r="A25" s="109">
        <v>7</v>
      </c>
      <c r="B25" s="51"/>
      <c r="C25" s="404"/>
      <c r="D25" s="52"/>
      <c r="E25" s="53"/>
      <c r="F25" s="54" t="str">
        <f>IF(A25&gt;'3)招へい者4)受入れ体制'!$L$31,"",'1)受入れ機関概要'!$C$8)</f>
        <v/>
      </c>
      <c r="G25" s="54" t="str">
        <f>IF(A25&gt;'3)招へい者4)受入れ体制'!$L$31,"",'1)受入れ機関概要'!$F$8)</f>
        <v/>
      </c>
      <c r="H25" s="115" t="str">
        <f t="shared" si="4"/>
        <v/>
      </c>
      <c r="I25" s="51"/>
      <c r="J25" s="1091"/>
      <c r="K25" s="1091"/>
      <c r="L25" s="461"/>
      <c r="M25" s="1092" t="str">
        <f t="shared" si="13"/>
        <v/>
      </c>
      <c r="N25" s="1092"/>
      <c r="O25" s="52"/>
      <c r="P25" s="230"/>
      <c r="Q25" s="1112"/>
      <c r="R25" s="1112"/>
      <c r="T25" s="296" t="str">
        <f t="shared" si="5"/>
        <v/>
      </c>
      <c r="U25" s="95" t="str">
        <f t="shared" si="3"/>
        <v/>
      </c>
      <c r="V25" s="95" t="str">
        <f t="shared" si="6"/>
        <v/>
      </c>
      <c r="W25" s="95" t="str">
        <f t="shared" si="7"/>
        <v/>
      </c>
      <c r="X25" s="95" t="str">
        <f>IF(Y25="","",INDEX($A$19:$R$30,7,1))</f>
        <v/>
      </c>
      <c r="Y25" s="95" t="str">
        <f>IF(INDEX($A$19:$R$30,7,2)="","",UPPER(CLEAN(TRIM(ASC(INDEX($A$19:$R$30,7,2))))))</f>
        <v/>
      </c>
      <c r="Z25" s="96" t="str" cm="1">
        <f t="array" ref="Z25">IF(X25="","",IF(INDEX($A$19:$R$30,X25,3)="","",INDEX($A$19:$R$30,X25,3)))</f>
        <v/>
      </c>
      <c r="AA25" s="95" t="str" cm="1">
        <f t="array" ref="AA25">IFERROR(INDEX($A$19:$R$30,X25,4),"")</f>
        <v/>
      </c>
      <c r="AB25" s="97" t="str" cm="1">
        <f t="array" ref="AB25">IFERROR(INDEX($A$19:$R$30,X25,5),"")</f>
        <v/>
      </c>
      <c r="AC25" s="95" t="str" cm="1">
        <f t="array" ref="AC25">IFERROR(INDEX($A$19:$R$30,X25,9),"")</f>
        <v/>
      </c>
      <c r="AD25" s="97" t="str" cm="1">
        <f t="array" ref="AD25">IFERROR(INDEX($A$19:$R$30,X25,6),"")</f>
        <v/>
      </c>
      <c r="AE25" s="97" t="str" cm="1">
        <f t="array" ref="AE25">IFERROR(INDEX($A$19:$R$30,X25,7),"")</f>
        <v/>
      </c>
      <c r="AF25" s="95" t="str" cm="1">
        <f t="array" ref="AF25">IFERROR(INDEX($A$19:$R$30,X25,8),"")</f>
        <v/>
      </c>
      <c r="AG25" s="95" t="str" cm="1">
        <f t="array" ref="AG25">IFERROR(INDEX($A$19:$R$30,X25,10),"")</f>
        <v/>
      </c>
      <c r="AH25" s="95" t="str" cm="1">
        <f t="array" ref="AH25">IFERROR(INDEX($A$19:$R$30,X25,12),"")</f>
        <v/>
      </c>
      <c r="AI25" s="95" t="str" cm="1">
        <f t="array" ref="AI25">IF(X25="","",IF(INDEX($A$19:$R$30,X25,15)="","",INDEX($A$19:$R$30,X25,15)))</f>
        <v/>
      </c>
      <c r="AJ25" s="297" t="str" cm="1">
        <f t="array" ref="AJ25">IF(X25="","",IF(INDEX($A$19:$R$30,X25,17)="","",INDEX($A$19:$R$30,X25,17)))</f>
        <v/>
      </c>
      <c r="AL25" s="296" t="str">
        <f t="shared" si="8"/>
        <v/>
      </c>
      <c r="AM25" s="95" t="str">
        <f t="shared" si="9"/>
        <v/>
      </c>
      <c r="AN25" s="95" t="str">
        <f t="shared" si="10"/>
        <v/>
      </c>
      <c r="AO25" s="95" t="str">
        <f t="shared" si="11"/>
        <v/>
      </c>
      <c r="AP25" s="297" t="str">
        <f t="shared" si="12"/>
        <v/>
      </c>
    </row>
    <row r="26" spans="1:43" ht="18.75" customHeight="1">
      <c r="A26" s="109">
        <v>8</v>
      </c>
      <c r="B26" s="51"/>
      <c r="C26" s="404"/>
      <c r="D26" s="52"/>
      <c r="E26" s="53"/>
      <c r="F26" s="54" t="str">
        <f>IF(A26&gt;'3)招へい者4)受入れ体制'!$L$31,"",'1)受入れ機関概要'!$C$8)</f>
        <v/>
      </c>
      <c r="G26" s="54" t="str">
        <f>IF(A26&gt;'3)招へい者4)受入れ体制'!$L$31,"",'1)受入れ機関概要'!$F$8)</f>
        <v/>
      </c>
      <c r="H26" s="115" t="str">
        <f t="shared" si="4"/>
        <v/>
      </c>
      <c r="I26" s="51"/>
      <c r="J26" s="1091"/>
      <c r="K26" s="1091"/>
      <c r="L26" s="461"/>
      <c r="M26" s="1092" t="str">
        <f t="shared" si="13"/>
        <v/>
      </c>
      <c r="N26" s="1092"/>
      <c r="O26" s="52"/>
      <c r="P26" s="230"/>
      <c r="Q26" s="1112"/>
      <c r="R26" s="1112"/>
      <c r="T26" s="296" t="str">
        <f t="shared" si="5"/>
        <v/>
      </c>
      <c r="U26" s="95" t="str">
        <f t="shared" si="3"/>
        <v/>
      </c>
      <c r="V26" s="95" t="str">
        <f t="shared" si="6"/>
        <v/>
      </c>
      <c r="W26" s="95" t="str">
        <f t="shared" si="7"/>
        <v/>
      </c>
      <c r="X26" s="95" t="str">
        <f>IF(Y26="","",INDEX($A$19:$R$30,8,1))</f>
        <v/>
      </c>
      <c r="Y26" s="95" t="str">
        <f>IF(INDEX($A$19:$R$30,8,2)="","",UPPER(CLEAN(TRIM(ASC(INDEX($A$19:$R$30,8,2))))))</f>
        <v/>
      </c>
      <c r="Z26" s="96" t="str" cm="1">
        <f t="array" ref="Z26">IF(X26="","",IF(INDEX($A$19:$R$30,X26,3)="","",INDEX($A$19:$R$30,X26,3)))</f>
        <v/>
      </c>
      <c r="AA26" s="95" t="str" cm="1">
        <f t="array" ref="AA26">IFERROR(INDEX($A$19:$R$30,X26,4),"")</f>
        <v/>
      </c>
      <c r="AB26" s="97" t="str" cm="1">
        <f t="array" ref="AB26">IFERROR(INDEX($A$19:$R$30,X26,5),"")</f>
        <v/>
      </c>
      <c r="AC26" s="95" t="str" cm="1">
        <f t="array" ref="AC26">IFERROR(INDEX($A$19:$R$30,X26,9),"")</f>
        <v/>
      </c>
      <c r="AD26" s="97" t="str" cm="1">
        <f t="array" ref="AD26">IFERROR(INDEX($A$19:$R$30,X26,6),"")</f>
        <v/>
      </c>
      <c r="AE26" s="97" t="str" cm="1">
        <f t="array" ref="AE26">IFERROR(INDEX($A$19:$R$30,X26,7),"")</f>
        <v/>
      </c>
      <c r="AF26" s="95" t="str" cm="1">
        <f t="array" ref="AF26">IFERROR(INDEX($A$19:$R$30,X26,8),"")</f>
        <v/>
      </c>
      <c r="AG26" s="95" t="str" cm="1">
        <f t="array" ref="AG26">IFERROR(INDEX($A$19:$R$30,X26,10),"")</f>
        <v/>
      </c>
      <c r="AH26" s="95" t="str" cm="1">
        <f t="array" ref="AH26">IFERROR(INDEX($A$19:$R$30,X26,12),"")</f>
        <v/>
      </c>
      <c r="AI26" s="95" t="str" cm="1">
        <f t="array" ref="AI26">IF(X26="","",IF(INDEX($A$19:$R$30,X26,15)="","",INDEX($A$19:$R$30,X26,15)))</f>
        <v/>
      </c>
      <c r="AJ26" s="297" t="str" cm="1">
        <f t="array" ref="AJ26">IF(X26="","",IF(INDEX($A$19:$R$30,X26,17)="","",INDEX($A$19:$R$30,X26,17)))</f>
        <v/>
      </c>
      <c r="AL26" s="296" t="str">
        <f t="shared" si="8"/>
        <v/>
      </c>
      <c r="AM26" s="95" t="str">
        <f t="shared" si="9"/>
        <v/>
      </c>
      <c r="AN26" s="95" t="str">
        <f>V26</f>
        <v/>
      </c>
      <c r="AO26" s="95" t="str">
        <f t="shared" si="11"/>
        <v/>
      </c>
      <c r="AP26" s="297" t="str">
        <f t="shared" si="12"/>
        <v/>
      </c>
    </row>
    <row r="27" spans="1:43" ht="18.75" customHeight="1">
      <c r="A27" s="109">
        <v>9</v>
      </c>
      <c r="B27" s="51"/>
      <c r="C27" s="404"/>
      <c r="D27" s="52"/>
      <c r="E27" s="53"/>
      <c r="F27" s="54" t="str">
        <f>IF(A27&gt;'3)招へい者4)受入れ体制'!$L$31,"",'1)受入れ機関概要'!$C$8)</f>
        <v/>
      </c>
      <c r="G27" s="54" t="str">
        <f>IF(A27&gt;'3)招へい者4)受入れ体制'!$L$31,"",'1)受入れ機関概要'!$F$8)</f>
        <v/>
      </c>
      <c r="H27" s="115" t="str">
        <f t="shared" si="4"/>
        <v/>
      </c>
      <c r="I27" s="51"/>
      <c r="J27" s="1091"/>
      <c r="K27" s="1091"/>
      <c r="L27" s="461"/>
      <c r="M27" s="1092" t="str">
        <f t="shared" si="13"/>
        <v/>
      </c>
      <c r="N27" s="1092"/>
      <c r="O27" s="52"/>
      <c r="P27" s="230"/>
      <c r="Q27" s="1112"/>
      <c r="R27" s="1112"/>
      <c r="T27" s="296" t="str">
        <f t="shared" si="5"/>
        <v/>
      </c>
      <c r="U27" s="95" t="str">
        <f t="shared" si="3"/>
        <v/>
      </c>
      <c r="V27" s="95" t="str">
        <f t="shared" si="6"/>
        <v/>
      </c>
      <c r="W27" s="95" t="str">
        <f t="shared" si="7"/>
        <v/>
      </c>
      <c r="X27" s="95" t="str">
        <f>IF(Y27="","",INDEX($A$19:$R$30,9,1))</f>
        <v/>
      </c>
      <c r="Y27" s="95" t="str">
        <f>IF(INDEX($A$19:$R$30,9,2)="","",UPPER(CLEAN(TRIM(ASC(INDEX($A$19:$R$30,9,2))))))</f>
        <v/>
      </c>
      <c r="Z27" s="96" t="str" cm="1">
        <f t="array" ref="Z27">IF(X27="","",IF(INDEX($A$19:$R$30,X27,3)="","",INDEX($A$19:$R$30,X27,3)))</f>
        <v/>
      </c>
      <c r="AA27" s="95" t="str" cm="1">
        <f t="array" ref="AA27">IFERROR(INDEX($A$19:$R$30,X27,4),"")</f>
        <v/>
      </c>
      <c r="AB27" s="97" t="str" cm="1">
        <f t="array" ref="AB27">IFERROR(INDEX($A$19:$R$30,X27,5),"")</f>
        <v/>
      </c>
      <c r="AC27" s="95" t="str" cm="1">
        <f t="array" ref="AC27">IFERROR(INDEX($A$19:$R$30,X27,9),"")</f>
        <v/>
      </c>
      <c r="AD27" s="97" t="str" cm="1">
        <f t="array" ref="AD27">IFERROR(INDEX($A$19:$R$30,X27,6),"")</f>
        <v/>
      </c>
      <c r="AE27" s="97" t="str" cm="1">
        <f t="array" ref="AE27">IFERROR(INDEX($A$19:$R$30,X27,7),"")</f>
        <v/>
      </c>
      <c r="AF27" s="95" t="str" cm="1">
        <f t="array" ref="AF27">IFERROR(INDEX($A$19:$R$30,X27,8),"")</f>
        <v/>
      </c>
      <c r="AG27" s="95" t="str" cm="1">
        <f t="array" ref="AG27">IFERROR(INDEX($A$19:$R$30,X27,10),"")</f>
        <v/>
      </c>
      <c r="AH27" s="95" t="str" cm="1">
        <f t="array" ref="AH27">IFERROR(INDEX($A$19:$R$30,X27,12),"")</f>
        <v/>
      </c>
      <c r="AI27" s="95" t="str" cm="1">
        <f t="array" ref="AI27">IF(X27="","",IF(INDEX($A$19:$R$30,X27,15)="","",INDEX($A$19:$R$30,X27,15)))</f>
        <v/>
      </c>
      <c r="AJ27" s="297" t="str" cm="1">
        <f t="array" ref="AJ27">IF(X27="","",IF(INDEX($A$19:$R$30,X27,17)="","",INDEX($A$19:$R$30,X27,17)))</f>
        <v/>
      </c>
      <c r="AL27" s="296" t="str">
        <f t="shared" si="8"/>
        <v/>
      </c>
      <c r="AM27" s="95" t="str">
        <f t="shared" si="9"/>
        <v/>
      </c>
      <c r="AN27" s="95" t="str">
        <f t="shared" si="10"/>
        <v/>
      </c>
      <c r="AO27" s="95" t="str">
        <f t="shared" si="11"/>
        <v/>
      </c>
      <c r="AP27" s="297" t="str">
        <f t="shared" si="12"/>
        <v/>
      </c>
    </row>
    <row r="28" spans="1:43" ht="18.75" customHeight="1">
      <c r="A28" s="109">
        <v>10</v>
      </c>
      <c r="B28" s="51"/>
      <c r="C28" s="404"/>
      <c r="D28" s="52"/>
      <c r="E28" s="53"/>
      <c r="F28" s="54" t="str">
        <f>IF(A28&gt;'3)招へい者4)受入れ体制'!$L$31,"",'1)受入れ機関概要'!$C$8)</f>
        <v/>
      </c>
      <c r="G28" s="54" t="str">
        <f>IF(A28&gt;'3)招へい者4)受入れ体制'!$L$31,"",'1)受入れ機関概要'!$F$8)</f>
        <v/>
      </c>
      <c r="H28" s="115" t="str">
        <f t="shared" si="4"/>
        <v/>
      </c>
      <c r="I28" s="51"/>
      <c r="J28" s="1091"/>
      <c r="K28" s="1091"/>
      <c r="L28" s="461"/>
      <c r="M28" s="1092" t="str">
        <f t="shared" si="13"/>
        <v/>
      </c>
      <c r="N28" s="1092"/>
      <c r="O28" s="52"/>
      <c r="P28" s="230"/>
      <c r="Q28" s="1112"/>
      <c r="R28" s="1112"/>
      <c r="T28" s="296" t="str">
        <f t="shared" si="5"/>
        <v/>
      </c>
      <c r="U28" s="95" t="str">
        <f t="shared" si="3"/>
        <v/>
      </c>
      <c r="V28" s="95" t="str">
        <f t="shared" si="6"/>
        <v/>
      </c>
      <c r="W28" s="95" t="str">
        <f t="shared" si="7"/>
        <v/>
      </c>
      <c r="X28" s="95" t="str">
        <f>IF(Y28="","",INDEX($A$19:$R$30,10,1))</f>
        <v/>
      </c>
      <c r="Y28" s="95" t="str">
        <f>IF(INDEX($A$19:$R$30,10,2)="","",UPPER(CLEAN(TRIM(ASC(INDEX($A$19:$R$30,10,2))))))</f>
        <v/>
      </c>
      <c r="Z28" s="96" t="str" cm="1">
        <f t="array" ref="Z28">IF(X28="","",IF(INDEX($A$19:$R$30,X28,3)="","",INDEX($A$19:$R$30,X28,3)))</f>
        <v/>
      </c>
      <c r="AA28" s="95" t="str" cm="1">
        <f t="array" ref="AA28">IFERROR(INDEX($A$19:$R$30,X28,4),"")</f>
        <v/>
      </c>
      <c r="AB28" s="97" t="str" cm="1">
        <f t="array" ref="AB28">IFERROR(INDEX($A$19:$R$30,X28,5),"")</f>
        <v/>
      </c>
      <c r="AC28" s="95" t="str" cm="1">
        <f t="array" ref="AC28">IFERROR(INDEX($A$19:$R$30,X28,9),"")</f>
        <v/>
      </c>
      <c r="AD28" s="97" t="str" cm="1">
        <f t="array" ref="AD28">IFERROR(INDEX($A$19:$R$30,X28,6),"")</f>
        <v/>
      </c>
      <c r="AE28" s="97" t="str" cm="1">
        <f t="array" ref="AE28">IFERROR(INDEX($A$19:$R$30,X28,7),"")</f>
        <v/>
      </c>
      <c r="AF28" s="95" t="str" cm="1">
        <f t="array" ref="AF28">IFERROR(INDEX($A$19:$R$30,X28,8),"")</f>
        <v/>
      </c>
      <c r="AG28" s="95" t="str" cm="1">
        <f t="array" ref="AG28">IFERROR(INDEX($A$19:$R$30,X28,10),"")</f>
        <v/>
      </c>
      <c r="AH28" s="95" t="str" cm="1">
        <f t="array" ref="AH28">IFERROR(INDEX($A$19:$R$30,X28,12),"")</f>
        <v/>
      </c>
      <c r="AI28" s="95" t="str" cm="1">
        <f t="array" ref="AI28">IF(X28="","",IF(INDEX($A$19:$R$30,X28,15)="","",INDEX($A$19:$R$30,X28,15)))</f>
        <v/>
      </c>
      <c r="AJ28" s="297" t="str" cm="1">
        <f t="array" ref="AJ28">IF(X28="","",IF(INDEX($A$19:$R$30,X28,17)="","",INDEX($A$19:$R$30,X28,17)))</f>
        <v/>
      </c>
      <c r="AL28" s="296" t="str">
        <f t="shared" si="8"/>
        <v/>
      </c>
      <c r="AM28" s="95" t="str">
        <f t="shared" si="9"/>
        <v/>
      </c>
      <c r="AN28" s="95" t="str">
        <f t="shared" si="10"/>
        <v/>
      </c>
      <c r="AO28" s="95" t="str">
        <f t="shared" si="11"/>
        <v/>
      </c>
      <c r="AP28" s="297" t="str">
        <f t="shared" si="12"/>
        <v/>
      </c>
    </row>
    <row r="29" spans="1:43" ht="18.75" customHeight="1">
      <c r="A29" s="109">
        <v>11</v>
      </c>
      <c r="B29" s="51"/>
      <c r="C29" s="404"/>
      <c r="D29" s="52"/>
      <c r="E29" s="53"/>
      <c r="F29" s="54" t="str">
        <f>IF(A29&gt;'3)招へい者4)受入れ体制'!$L$31,"",'1)受入れ機関概要'!$C$8)</f>
        <v/>
      </c>
      <c r="G29" s="54" t="str">
        <f>IF(A29&gt;'3)招へい者4)受入れ体制'!$L$31,"",'1)受入れ機関概要'!$F$8)</f>
        <v/>
      </c>
      <c r="H29" s="115" t="str">
        <f t="shared" si="4"/>
        <v/>
      </c>
      <c r="I29" s="51"/>
      <c r="J29" s="1091"/>
      <c r="K29" s="1091"/>
      <c r="L29" s="461"/>
      <c r="M29" s="1092" t="str">
        <f t="shared" si="13"/>
        <v/>
      </c>
      <c r="N29" s="1092"/>
      <c r="O29" s="52"/>
      <c r="P29" s="230"/>
      <c r="Q29" s="1112"/>
      <c r="R29" s="1112"/>
      <c r="T29" s="296" t="str">
        <f t="shared" si="5"/>
        <v/>
      </c>
      <c r="U29" s="95" t="str">
        <f t="shared" si="3"/>
        <v/>
      </c>
      <c r="V29" s="95" t="str">
        <f t="shared" si="6"/>
        <v/>
      </c>
      <c r="W29" s="95" t="str">
        <f t="shared" si="7"/>
        <v/>
      </c>
      <c r="X29" s="95" t="str">
        <f>IF(Y29="","",INDEX($A$19:$R$30,11,1))</f>
        <v/>
      </c>
      <c r="Y29" s="95" t="str">
        <f>IF(INDEX($A$19:$R$30,11,2)="","",UPPER(CLEAN(TRIM(ASC(INDEX($A$19:$R$30,11,2))))))</f>
        <v/>
      </c>
      <c r="Z29" s="96" t="str" cm="1">
        <f t="array" ref="Z29">IF(X29="","",IF(INDEX($A$19:$R$30,X29,3)="","",INDEX($A$19:$R$30,X29,3)))</f>
        <v/>
      </c>
      <c r="AA29" s="95" t="str" cm="1">
        <f t="array" ref="AA29">IFERROR(INDEX($A$19:$R$30,X29,4),"")</f>
        <v/>
      </c>
      <c r="AB29" s="97" t="str" cm="1">
        <f t="array" ref="AB29">IFERROR(INDEX($A$19:$R$30,X29,5),"")</f>
        <v/>
      </c>
      <c r="AC29" s="95" t="str" cm="1">
        <f t="array" ref="AC29">IFERROR(INDEX($A$19:$R$30,X29,9),"")</f>
        <v/>
      </c>
      <c r="AD29" s="97" t="str" cm="1">
        <f t="array" ref="AD29">IFERROR(INDEX($A$19:$R$30,X29,6),"")</f>
        <v/>
      </c>
      <c r="AE29" s="97" t="str" cm="1">
        <f t="array" ref="AE29">IFERROR(INDEX($A$19:$R$30,X29,7),"")</f>
        <v/>
      </c>
      <c r="AF29" s="95" t="str" cm="1">
        <f t="array" ref="AF29">IFERROR(INDEX($A$19:$R$30,X29,8),"")</f>
        <v/>
      </c>
      <c r="AG29" s="95" t="str" cm="1">
        <f t="array" ref="AG29">IFERROR(INDEX($A$19:$R$30,X29,10),"")</f>
        <v/>
      </c>
      <c r="AH29" s="95" t="str" cm="1">
        <f t="array" ref="AH29">IFERROR(INDEX($A$19:$R$30,X29,12),"")</f>
        <v/>
      </c>
      <c r="AI29" s="95" t="str" cm="1">
        <f t="array" ref="AI29">IF(X29="","",IF(INDEX($A$19:$R$30,X29,15)="","",INDEX($A$19:$R$30,X29,15)))</f>
        <v/>
      </c>
      <c r="AJ29" s="297" t="str" cm="1">
        <f t="array" ref="AJ29">IF(X29="","",IF(INDEX($A$19:$R$30,X29,17)="","",INDEX($A$19:$R$30,X29,17)))</f>
        <v/>
      </c>
      <c r="AL29" s="296" t="str">
        <f t="shared" si="8"/>
        <v/>
      </c>
      <c r="AM29" s="95" t="str">
        <f t="shared" si="9"/>
        <v/>
      </c>
      <c r="AN29" s="95" t="str">
        <f t="shared" si="10"/>
        <v/>
      </c>
      <c r="AO29" s="95" t="str">
        <f t="shared" si="11"/>
        <v/>
      </c>
      <c r="AP29" s="297" t="str">
        <f t="shared" si="12"/>
        <v/>
      </c>
    </row>
    <row r="30" spans="1:43" ht="18.75" customHeight="1" thickBot="1">
      <c r="A30" s="109">
        <v>12</v>
      </c>
      <c r="B30" s="51"/>
      <c r="C30" s="404"/>
      <c r="D30" s="52"/>
      <c r="E30" s="53"/>
      <c r="F30" s="54" t="str">
        <f>IF(A30&gt;'3)招へい者4)受入れ体制'!$L$31,"",'1)受入れ機関概要'!$C$8)</f>
        <v/>
      </c>
      <c r="G30" s="54" t="str">
        <f>IF(A30&gt;'3)招へい者4)受入れ体制'!$L$31,"",'1)受入れ機関概要'!$F$8)</f>
        <v/>
      </c>
      <c r="H30" s="115" t="str">
        <f t="shared" si="4"/>
        <v/>
      </c>
      <c r="I30" s="51"/>
      <c r="J30" s="1091"/>
      <c r="K30" s="1091"/>
      <c r="L30" s="461"/>
      <c r="M30" s="1092" t="str">
        <f t="shared" si="13"/>
        <v/>
      </c>
      <c r="N30" s="1092"/>
      <c r="O30" s="52"/>
      <c r="P30" s="230"/>
      <c r="Q30" s="1112"/>
      <c r="R30" s="1112"/>
      <c r="T30" s="298" t="str">
        <f t="shared" si="5"/>
        <v/>
      </c>
      <c r="U30" s="299" t="str">
        <f t="shared" si="3"/>
        <v/>
      </c>
      <c r="V30" s="299" t="str">
        <f t="shared" si="6"/>
        <v/>
      </c>
      <c r="W30" s="299" t="str">
        <f t="shared" si="7"/>
        <v/>
      </c>
      <c r="X30" s="299" t="str">
        <f>IF(Y30="","",INDEX($A$19:$R$30,12,1))</f>
        <v/>
      </c>
      <c r="Y30" s="299" t="str">
        <f>IF(INDEX($A$19:$R$30,12,2)="","",UPPER(CLEAN(TRIM(ASC(INDEX($A$19:$R$30,12,2))))))</f>
        <v/>
      </c>
      <c r="Z30" s="300" t="str" cm="1">
        <f t="array" ref="Z30">IF(X30="","",IF(INDEX($A$19:$R$30,X30,3)="","",INDEX($A$19:$R$30,X30,3)))</f>
        <v/>
      </c>
      <c r="AA30" s="299" t="str" cm="1">
        <f t="array" ref="AA30">IFERROR(INDEX($A$19:$R$30,X30,4),"")</f>
        <v/>
      </c>
      <c r="AB30" s="301" t="str" cm="1">
        <f t="array" ref="AB30">IFERROR(INDEX($A$19:$R$30,X30,5),"")</f>
        <v/>
      </c>
      <c r="AC30" s="299" t="str" cm="1">
        <f t="array" ref="AC30">IFERROR(INDEX($A$19:$R$30,X30,9),"")</f>
        <v/>
      </c>
      <c r="AD30" s="301" t="str" cm="1">
        <f t="array" ref="AD30">IFERROR(INDEX($A$19:$R$30,X30,6),"")</f>
        <v/>
      </c>
      <c r="AE30" s="301" t="str" cm="1">
        <f t="array" ref="AE30">IFERROR(INDEX($A$19:$R$30,X30,7),"")</f>
        <v/>
      </c>
      <c r="AF30" s="299" t="str" cm="1">
        <f t="array" ref="AF30">IFERROR(INDEX($A$19:$R$30,X30,8),"")</f>
        <v/>
      </c>
      <c r="AG30" s="299" t="str" cm="1">
        <f t="array" ref="AG30">IFERROR(INDEX($A$19:$R$30,X30,10),"")</f>
        <v/>
      </c>
      <c r="AH30" s="299" t="str" cm="1">
        <f t="array" ref="AH30">IFERROR(INDEX($A$19:$R$30,X30,12),"")</f>
        <v/>
      </c>
      <c r="AI30" s="299" t="str" cm="1">
        <f t="array" ref="AI30">IF(X30="","",IF(INDEX($A$19:$R$30,X30,15)="","",INDEX($A$19:$R$30,X30,15)))</f>
        <v/>
      </c>
      <c r="AJ30" s="302" t="str" cm="1">
        <f t="array" ref="AJ30">IF(X30="","",IF(INDEX($A$19:$R$30,X30,17)="","",INDEX($A$19:$R$30,X30,17)))</f>
        <v/>
      </c>
      <c r="AL30" s="298" t="str">
        <f t="shared" si="8"/>
        <v/>
      </c>
      <c r="AM30" s="299" t="str">
        <f t="shared" si="9"/>
        <v/>
      </c>
      <c r="AN30" s="299" t="str">
        <f t="shared" si="10"/>
        <v/>
      </c>
      <c r="AO30" s="299" t="str">
        <f>X30</f>
        <v/>
      </c>
      <c r="AP30" s="302" t="str">
        <f t="shared" si="12"/>
        <v/>
      </c>
    </row>
    <row r="31" spans="1:43" s="93" customFormat="1" ht="18.75" hidden="1" customHeight="1" thickTop="1">
      <c r="A31" s="452">
        <v>13</v>
      </c>
      <c r="B31" s="447"/>
      <c r="C31" s="448"/>
      <c r="D31" s="449"/>
      <c r="E31" s="450"/>
      <c r="F31" s="450"/>
      <c r="G31" s="450"/>
      <c r="H31" s="451"/>
      <c r="I31" s="447"/>
      <c r="J31" s="1113"/>
      <c r="K31" s="1113"/>
      <c r="L31" s="463"/>
      <c r="M31" s="1109"/>
      <c r="N31" s="1109"/>
      <c r="O31" s="449"/>
      <c r="P31" s="449"/>
      <c r="Q31" s="1104"/>
      <c r="R31" s="1104"/>
      <c r="S31" s="363"/>
      <c r="T31" s="441"/>
      <c r="U31" s="441"/>
      <c r="V31" s="441"/>
      <c r="W31" s="441"/>
      <c r="X31" s="441"/>
      <c r="Y31" s="441"/>
      <c r="Z31" s="442"/>
      <c r="AA31" s="441"/>
      <c r="AB31" s="443"/>
      <c r="AC31" s="441"/>
      <c r="AD31" s="443"/>
      <c r="AE31" s="443"/>
      <c r="AF31" s="441"/>
      <c r="AG31" s="441"/>
      <c r="AH31" s="441"/>
      <c r="AI31" s="441"/>
      <c r="AJ31" s="441"/>
      <c r="AK31" s="363"/>
      <c r="AL31" s="363"/>
      <c r="AM31" s="363"/>
      <c r="AN31" s="363"/>
      <c r="AO31" s="363"/>
      <c r="AP31" s="363"/>
      <c r="AQ31" s="363"/>
    </row>
    <row r="32" spans="1:43" s="93" customFormat="1" ht="18.75" hidden="1" customHeight="1">
      <c r="A32" s="452">
        <v>14</v>
      </c>
      <c r="B32" s="447"/>
      <c r="C32" s="448"/>
      <c r="D32" s="449"/>
      <c r="E32" s="450"/>
      <c r="F32" s="450"/>
      <c r="G32" s="450"/>
      <c r="H32" s="451"/>
      <c r="I32" s="447"/>
      <c r="J32" s="1113"/>
      <c r="K32" s="1113"/>
      <c r="L32" s="463"/>
      <c r="M32" s="1109"/>
      <c r="N32" s="1109"/>
      <c r="O32" s="449"/>
      <c r="P32" s="449"/>
      <c r="Q32" s="1104"/>
      <c r="R32" s="1104"/>
      <c r="S32" s="363"/>
      <c r="T32" s="444"/>
      <c r="U32" s="444"/>
      <c r="V32" s="444"/>
      <c r="W32" s="444"/>
      <c r="X32" s="444"/>
      <c r="Y32" s="444"/>
      <c r="Z32" s="445"/>
      <c r="AA32" s="444"/>
      <c r="AB32" s="446"/>
      <c r="AC32" s="444"/>
      <c r="AD32" s="446"/>
      <c r="AE32" s="446"/>
      <c r="AF32" s="444"/>
      <c r="AG32" s="444"/>
      <c r="AH32" s="444"/>
      <c r="AI32" s="444"/>
      <c r="AJ32" s="444"/>
      <c r="AK32" s="363"/>
      <c r="AL32" s="363"/>
      <c r="AM32" s="363"/>
      <c r="AN32" s="363"/>
      <c r="AO32" s="363"/>
      <c r="AP32" s="363"/>
      <c r="AQ32" s="363"/>
    </row>
    <row r="33" spans="1:43" s="93" customFormat="1" ht="18.75" hidden="1" customHeight="1">
      <c r="A33" s="452">
        <v>15</v>
      </c>
      <c r="B33" s="447"/>
      <c r="C33" s="448"/>
      <c r="D33" s="449"/>
      <c r="E33" s="450"/>
      <c r="F33" s="450"/>
      <c r="G33" s="450"/>
      <c r="H33" s="451"/>
      <c r="I33" s="447"/>
      <c r="J33" s="1113"/>
      <c r="K33" s="1113"/>
      <c r="L33" s="463"/>
      <c r="M33" s="1109"/>
      <c r="N33" s="1109"/>
      <c r="O33" s="449"/>
      <c r="P33" s="449"/>
      <c r="Q33" s="1104"/>
      <c r="R33" s="1104"/>
      <c r="S33" s="363"/>
      <c r="T33" s="444"/>
      <c r="U33" s="444"/>
      <c r="V33" s="444"/>
      <c r="W33" s="444"/>
      <c r="X33" s="444"/>
      <c r="Y33" s="444"/>
      <c r="Z33" s="445"/>
      <c r="AA33" s="444"/>
      <c r="AB33" s="446"/>
      <c r="AC33" s="444"/>
      <c r="AD33" s="446"/>
      <c r="AE33" s="446"/>
      <c r="AF33" s="444"/>
      <c r="AG33" s="444"/>
      <c r="AH33" s="444"/>
      <c r="AI33" s="444"/>
      <c r="AJ33" s="444"/>
      <c r="AK33" s="363"/>
      <c r="AL33" s="363"/>
      <c r="AM33" s="363"/>
      <c r="AN33" s="363"/>
      <c r="AO33" s="363"/>
      <c r="AP33" s="363"/>
      <c r="AQ33" s="363"/>
    </row>
    <row r="34" spans="1:43" s="93" customFormat="1" ht="18.75" hidden="1" customHeight="1">
      <c r="A34" s="452">
        <v>16</v>
      </c>
      <c r="B34" s="447"/>
      <c r="C34" s="448"/>
      <c r="D34" s="449"/>
      <c r="E34" s="450"/>
      <c r="F34" s="450"/>
      <c r="G34" s="450"/>
      <c r="H34" s="451"/>
      <c r="I34" s="447"/>
      <c r="J34" s="1113"/>
      <c r="K34" s="1113"/>
      <c r="L34" s="463"/>
      <c r="M34" s="1109"/>
      <c r="N34" s="1109"/>
      <c r="O34" s="449"/>
      <c r="P34" s="449"/>
      <c r="Q34" s="1104"/>
      <c r="R34" s="1104"/>
      <c r="S34" s="487"/>
      <c r="T34" s="444"/>
      <c r="U34" s="444"/>
      <c r="V34" s="444"/>
      <c r="W34" s="444"/>
      <c r="X34" s="444"/>
      <c r="Y34" s="444"/>
      <c r="Z34" s="445"/>
      <c r="AA34" s="444"/>
      <c r="AB34" s="446"/>
      <c r="AC34" s="444"/>
      <c r="AD34" s="446"/>
      <c r="AE34" s="446"/>
      <c r="AF34" s="444"/>
      <c r="AG34" s="444"/>
      <c r="AH34" s="444"/>
      <c r="AI34" s="444"/>
      <c r="AJ34" s="444"/>
      <c r="AK34" s="363"/>
      <c r="AL34" s="363"/>
      <c r="AM34" s="363"/>
      <c r="AN34" s="363"/>
      <c r="AO34" s="363"/>
      <c r="AP34" s="363"/>
      <c r="AQ34" s="363"/>
    </row>
    <row r="35" spans="1:43" s="93" customFormat="1" ht="18.75" hidden="1" customHeight="1">
      <c r="A35" s="452">
        <v>17</v>
      </c>
      <c r="B35" s="447"/>
      <c r="C35" s="448"/>
      <c r="D35" s="449"/>
      <c r="E35" s="450"/>
      <c r="F35" s="450"/>
      <c r="G35" s="450"/>
      <c r="H35" s="451"/>
      <c r="I35" s="447"/>
      <c r="J35" s="1113"/>
      <c r="K35" s="1113"/>
      <c r="L35" s="463"/>
      <c r="M35" s="1109"/>
      <c r="N35" s="1109"/>
      <c r="O35" s="449"/>
      <c r="P35" s="449"/>
      <c r="Q35" s="1104"/>
      <c r="R35" s="1104"/>
      <c r="S35" s="363"/>
      <c r="T35" s="444"/>
      <c r="U35" s="444"/>
      <c r="V35" s="444"/>
      <c r="W35" s="444"/>
      <c r="X35" s="444"/>
      <c r="Y35" s="444"/>
      <c r="Z35" s="445"/>
      <c r="AA35" s="444"/>
      <c r="AB35" s="446"/>
      <c r="AC35" s="444"/>
      <c r="AD35" s="446"/>
      <c r="AE35" s="446"/>
      <c r="AF35" s="444"/>
      <c r="AG35" s="444"/>
      <c r="AH35" s="444"/>
      <c r="AI35" s="444"/>
      <c r="AJ35" s="444"/>
      <c r="AK35" s="363"/>
      <c r="AL35" s="363"/>
      <c r="AM35" s="363"/>
      <c r="AN35" s="363"/>
      <c r="AO35" s="363"/>
      <c r="AP35" s="363"/>
      <c r="AQ35" s="363"/>
    </row>
    <row r="36" spans="1:43" s="93" customFormat="1" ht="18.75" hidden="1" customHeight="1">
      <c r="A36" s="452">
        <v>18</v>
      </c>
      <c r="B36" s="447"/>
      <c r="C36" s="448"/>
      <c r="D36" s="449"/>
      <c r="E36" s="450"/>
      <c r="F36" s="450"/>
      <c r="G36" s="450"/>
      <c r="H36" s="451"/>
      <c r="I36" s="447"/>
      <c r="J36" s="1113"/>
      <c r="K36" s="1113"/>
      <c r="L36" s="463"/>
      <c r="M36" s="1109"/>
      <c r="N36" s="1109"/>
      <c r="O36" s="449"/>
      <c r="P36" s="449"/>
      <c r="Q36" s="1104"/>
      <c r="R36" s="1104"/>
      <c r="S36" s="363"/>
      <c r="T36" s="444"/>
      <c r="U36" s="444"/>
      <c r="V36" s="444"/>
      <c r="W36" s="444"/>
      <c r="X36" s="444"/>
      <c r="Y36" s="444"/>
      <c r="Z36" s="445"/>
      <c r="AA36" s="444"/>
      <c r="AB36" s="446"/>
      <c r="AC36" s="444"/>
      <c r="AD36" s="446"/>
      <c r="AE36" s="446"/>
      <c r="AF36" s="444"/>
      <c r="AG36" s="444"/>
      <c r="AH36" s="444"/>
      <c r="AI36" s="444"/>
      <c r="AJ36" s="444"/>
      <c r="AK36" s="363"/>
      <c r="AL36" s="363"/>
      <c r="AM36" s="363"/>
      <c r="AN36" s="363"/>
      <c r="AO36" s="363"/>
      <c r="AP36" s="363"/>
      <c r="AQ36" s="363"/>
    </row>
    <row r="37" spans="1:43" s="93" customFormat="1" ht="18.75" hidden="1" customHeight="1">
      <c r="A37" s="452">
        <v>19</v>
      </c>
      <c r="B37" s="447"/>
      <c r="C37" s="448"/>
      <c r="D37" s="449"/>
      <c r="E37" s="450"/>
      <c r="F37" s="450"/>
      <c r="G37" s="450"/>
      <c r="H37" s="451"/>
      <c r="I37" s="447"/>
      <c r="J37" s="1113"/>
      <c r="K37" s="1113"/>
      <c r="L37" s="463"/>
      <c r="M37" s="1109"/>
      <c r="N37" s="1109"/>
      <c r="O37" s="449"/>
      <c r="P37" s="449"/>
      <c r="Q37" s="1104"/>
      <c r="R37" s="1104"/>
      <c r="S37" s="363"/>
      <c r="T37" s="444"/>
      <c r="U37" s="444"/>
      <c r="V37" s="444"/>
      <c r="W37" s="444"/>
      <c r="X37" s="444"/>
      <c r="Y37" s="444"/>
      <c r="Z37" s="445"/>
      <c r="AA37" s="444"/>
      <c r="AB37" s="446"/>
      <c r="AC37" s="444"/>
      <c r="AD37" s="446"/>
      <c r="AE37" s="446"/>
      <c r="AF37" s="444"/>
      <c r="AG37" s="444"/>
      <c r="AH37" s="444"/>
      <c r="AI37" s="444"/>
      <c r="AJ37" s="444"/>
      <c r="AK37" s="363"/>
      <c r="AL37" s="363"/>
      <c r="AM37" s="363"/>
      <c r="AN37" s="363"/>
      <c r="AO37" s="363"/>
      <c r="AP37" s="363"/>
      <c r="AQ37" s="363"/>
    </row>
    <row r="38" spans="1:43" s="93" customFormat="1" ht="18.75" hidden="1" customHeight="1">
      <c r="A38" s="452">
        <v>20</v>
      </c>
      <c r="B38" s="447"/>
      <c r="C38" s="448"/>
      <c r="D38" s="449"/>
      <c r="E38" s="450"/>
      <c r="F38" s="450"/>
      <c r="G38" s="450"/>
      <c r="H38" s="451"/>
      <c r="I38" s="447"/>
      <c r="J38" s="1113"/>
      <c r="K38" s="1113"/>
      <c r="L38" s="463"/>
      <c r="M38" s="1109"/>
      <c r="N38" s="1109"/>
      <c r="O38" s="449"/>
      <c r="P38" s="449"/>
      <c r="Q38" s="1104"/>
      <c r="R38" s="1104"/>
      <c r="S38" s="363"/>
      <c r="T38" s="444"/>
      <c r="U38" s="444"/>
      <c r="V38" s="444"/>
      <c r="W38" s="444"/>
      <c r="X38" s="444"/>
      <c r="Y38" s="444"/>
      <c r="Z38" s="445"/>
      <c r="AA38" s="444"/>
      <c r="AB38" s="446"/>
      <c r="AC38" s="444"/>
      <c r="AD38" s="446"/>
      <c r="AE38" s="446"/>
      <c r="AF38" s="444"/>
      <c r="AG38" s="444"/>
      <c r="AH38" s="444"/>
      <c r="AI38" s="444"/>
      <c r="AJ38" s="444"/>
      <c r="AK38" s="363"/>
      <c r="AL38" s="363"/>
      <c r="AM38" s="363"/>
      <c r="AN38" s="363"/>
      <c r="AO38" s="363"/>
      <c r="AP38" s="363"/>
      <c r="AQ38" s="363"/>
    </row>
    <row r="39" spans="1:43" s="93" customFormat="1" ht="18.75" hidden="1" customHeight="1">
      <c r="A39" s="452">
        <v>21</v>
      </c>
      <c r="B39" s="447"/>
      <c r="C39" s="448"/>
      <c r="D39" s="449"/>
      <c r="E39" s="450"/>
      <c r="F39" s="450"/>
      <c r="G39" s="450"/>
      <c r="H39" s="451"/>
      <c r="I39" s="447"/>
      <c r="J39" s="1113"/>
      <c r="K39" s="1113"/>
      <c r="L39" s="463"/>
      <c r="M39" s="1109"/>
      <c r="N39" s="1109"/>
      <c r="O39" s="449"/>
      <c r="P39" s="449"/>
      <c r="Q39" s="1104"/>
      <c r="R39" s="1104"/>
      <c r="S39" s="363"/>
      <c r="T39" s="444"/>
      <c r="U39" s="444"/>
      <c r="V39" s="444"/>
      <c r="W39" s="444"/>
      <c r="X39" s="444"/>
      <c r="Y39" s="444"/>
      <c r="Z39" s="445"/>
      <c r="AA39" s="444"/>
      <c r="AB39" s="446"/>
      <c r="AC39" s="444"/>
      <c r="AD39" s="446"/>
      <c r="AE39" s="446"/>
      <c r="AF39" s="444"/>
      <c r="AG39" s="444"/>
      <c r="AH39" s="444"/>
      <c r="AI39" s="444"/>
      <c r="AJ39" s="444"/>
      <c r="AK39" s="363"/>
      <c r="AL39" s="363"/>
      <c r="AM39" s="363"/>
      <c r="AN39" s="363"/>
      <c r="AO39" s="363"/>
      <c r="AP39" s="363"/>
      <c r="AQ39" s="363"/>
    </row>
    <row r="40" spans="1:43" s="93" customFormat="1" ht="18.75" hidden="1" customHeight="1">
      <c r="A40" s="452">
        <v>22</v>
      </c>
      <c r="B40" s="447"/>
      <c r="C40" s="448"/>
      <c r="D40" s="449"/>
      <c r="E40" s="450"/>
      <c r="F40" s="450"/>
      <c r="G40" s="450"/>
      <c r="H40" s="451"/>
      <c r="I40" s="447"/>
      <c r="J40" s="1113"/>
      <c r="K40" s="1113"/>
      <c r="L40" s="463"/>
      <c r="M40" s="1109"/>
      <c r="N40" s="1109"/>
      <c r="O40" s="449"/>
      <c r="P40" s="449"/>
      <c r="Q40" s="1104"/>
      <c r="R40" s="1104"/>
      <c r="S40" s="363"/>
      <c r="T40" s="444"/>
      <c r="U40" s="444"/>
      <c r="V40" s="444"/>
      <c r="W40" s="444"/>
      <c r="X40" s="444"/>
      <c r="Y40" s="444"/>
      <c r="Z40" s="445"/>
      <c r="AA40" s="444"/>
      <c r="AB40" s="446"/>
      <c r="AC40" s="444"/>
      <c r="AD40" s="446"/>
      <c r="AE40" s="446"/>
      <c r="AF40" s="444"/>
      <c r="AG40" s="444"/>
      <c r="AH40" s="444"/>
      <c r="AI40" s="444"/>
      <c r="AJ40" s="444"/>
      <c r="AK40" s="363"/>
      <c r="AL40" s="363"/>
      <c r="AM40" s="363"/>
      <c r="AN40" s="363"/>
      <c r="AO40" s="363"/>
      <c r="AP40" s="363"/>
      <c r="AQ40" s="363"/>
    </row>
    <row r="41" spans="1:43" s="93" customFormat="1" ht="18.75" hidden="1" customHeight="1">
      <c r="A41" s="452">
        <v>23</v>
      </c>
      <c r="B41" s="447"/>
      <c r="C41" s="448"/>
      <c r="D41" s="449"/>
      <c r="E41" s="450"/>
      <c r="F41" s="450"/>
      <c r="G41" s="450"/>
      <c r="H41" s="451"/>
      <c r="I41" s="447"/>
      <c r="J41" s="1113"/>
      <c r="K41" s="1113"/>
      <c r="L41" s="463"/>
      <c r="M41" s="1109"/>
      <c r="N41" s="1109"/>
      <c r="O41" s="449"/>
      <c r="P41" s="449"/>
      <c r="Q41" s="1104"/>
      <c r="R41" s="1104"/>
      <c r="S41" s="363"/>
      <c r="T41" s="444"/>
      <c r="U41" s="444"/>
      <c r="V41" s="444"/>
      <c r="W41" s="444"/>
      <c r="X41" s="444"/>
      <c r="Y41" s="444"/>
      <c r="Z41" s="445"/>
      <c r="AA41" s="444"/>
      <c r="AB41" s="446"/>
      <c r="AC41" s="444"/>
      <c r="AD41" s="446"/>
      <c r="AE41" s="446"/>
      <c r="AF41" s="444"/>
      <c r="AG41" s="444"/>
      <c r="AH41" s="444"/>
      <c r="AI41" s="444"/>
      <c r="AJ41" s="444"/>
      <c r="AK41" s="363"/>
      <c r="AL41" s="363"/>
      <c r="AM41" s="363"/>
      <c r="AN41" s="363"/>
      <c r="AO41" s="363"/>
      <c r="AP41" s="363"/>
      <c r="AQ41" s="363"/>
    </row>
    <row r="42" spans="1:43" s="93" customFormat="1" ht="18.75" hidden="1" customHeight="1">
      <c r="A42" s="452">
        <v>24</v>
      </c>
      <c r="B42" s="447"/>
      <c r="C42" s="448"/>
      <c r="D42" s="449"/>
      <c r="E42" s="450"/>
      <c r="F42" s="450"/>
      <c r="G42" s="450"/>
      <c r="H42" s="451"/>
      <c r="I42" s="447"/>
      <c r="J42" s="1113"/>
      <c r="K42" s="1113"/>
      <c r="L42" s="463"/>
      <c r="M42" s="1109"/>
      <c r="N42" s="1109"/>
      <c r="O42" s="449"/>
      <c r="P42" s="449"/>
      <c r="Q42" s="1104"/>
      <c r="R42" s="1104"/>
      <c r="S42" s="363"/>
      <c r="T42" s="444"/>
      <c r="U42" s="444"/>
      <c r="V42" s="444"/>
      <c r="W42" s="444"/>
      <c r="X42" s="444"/>
      <c r="Y42" s="444"/>
      <c r="Z42" s="445"/>
      <c r="AA42" s="444"/>
      <c r="AB42" s="446"/>
      <c r="AC42" s="444"/>
      <c r="AD42" s="446"/>
      <c r="AE42" s="446"/>
      <c r="AF42" s="444"/>
      <c r="AG42" s="444"/>
      <c r="AH42" s="444"/>
      <c r="AI42" s="444"/>
      <c r="AJ42" s="444"/>
      <c r="AK42" s="363"/>
      <c r="AL42" s="363"/>
      <c r="AM42" s="363"/>
      <c r="AN42" s="363"/>
      <c r="AO42" s="363"/>
      <c r="AP42" s="363"/>
      <c r="AQ42" s="363"/>
    </row>
    <row r="43" spans="1:43" s="93" customFormat="1" ht="18.75" hidden="1" customHeight="1">
      <c r="A43" s="452">
        <v>25</v>
      </c>
      <c r="B43" s="447"/>
      <c r="C43" s="448"/>
      <c r="D43" s="449"/>
      <c r="E43" s="450"/>
      <c r="F43" s="450"/>
      <c r="G43" s="450"/>
      <c r="H43" s="451"/>
      <c r="I43" s="447"/>
      <c r="J43" s="1113"/>
      <c r="K43" s="1113"/>
      <c r="L43" s="463"/>
      <c r="M43" s="1109"/>
      <c r="N43" s="1109"/>
      <c r="O43" s="449"/>
      <c r="P43" s="449"/>
      <c r="Q43" s="1104"/>
      <c r="R43" s="1104"/>
      <c r="S43" s="363"/>
      <c r="T43" s="444"/>
      <c r="U43" s="444"/>
      <c r="V43" s="444"/>
      <c r="W43" s="444"/>
      <c r="X43" s="444"/>
      <c r="Y43" s="444"/>
      <c r="Z43" s="445"/>
      <c r="AA43" s="444"/>
      <c r="AB43" s="446"/>
      <c r="AC43" s="444"/>
      <c r="AD43" s="446"/>
      <c r="AE43" s="446"/>
      <c r="AF43" s="444"/>
      <c r="AG43" s="444"/>
      <c r="AH43" s="444"/>
      <c r="AI43" s="444"/>
      <c r="AJ43" s="444"/>
      <c r="AK43" s="363"/>
      <c r="AL43" s="363"/>
      <c r="AM43" s="363"/>
      <c r="AN43" s="363"/>
      <c r="AO43" s="363"/>
      <c r="AP43" s="363"/>
      <c r="AQ43" s="363"/>
    </row>
    <row r="44" spans="1:43" s="93" customFormat="1" ht="18.75" hidden="1" customHeight="1">
      <c r="A44" s="452">
        <v>26</v>
      </c>
      <c r="B44" s="447"/>
      <c r="C44" s="448"/>
      <c r="D44" s="449"/>
      <c r="E44" s="450"/>
      <c r="F44" s="450"/>
      <c r="G44" s="450"/>
      <c r="H44" s="451"/>
      <c r="I44" s="447"/>
      <c r="J44" s="1113"/>
      <c r="K44" s="1113"/>
      <c r="L44" s="463"/>
      <c r="M44" s="1109"/>
      <c r="N44" s="1109"/>
      <c r="O44" s="449"/>
      <c r="P44" s="449"/>
      <c r="Q44" s="1104"/>
      <c r="R44" s="1104"/>
      <c r="S44" s="363"/>
      <c r="T44" s="444"/>
      <c r="U44" s="444"/>
      <c r="V44" s="444"/>
      <c r="W44" s="444"/>
      <c r="X44" s="444"/>
      <c r="Y44" s="444"/>
      <c r="Z44" s="445"/>
      <c r="AA44" s="444"/>
      <c r="AB44" s="446"/>
      <c r="AC44" s="444"/>
      <c r="AD44" s="446"/>
      <c r="AE44" s="446"/>
      <c r="AF44" s="444"/>
      <c r="AG44" s="444"/>
      <c r="AH44" s="444"/>
      <c r="AI44" s="444"/>
      <c r="AJ44" s="444"/>
      <c r="AK44" s="363"/>
      <c r="AL44" s="363"/>
      <c r="AM44" s="363"/>
      <c r="AN44" s="363"/>
      <c r="AO44" s="363"/>
      <c r="AP44" s="363"/>
      <c r="AQ44" s="363"/>
    </row>
    <row r="45" spans="1:43" s="93" customFormat="1" ht="18.75" hidden="1" customHeight="1">
      <c r="A45" s="452">
        <v>27</v>
      </c>
      <c r="B45" s="447"/>
      <c r="C45" s="448"/>
      <c r="D45" s="449"/>
      <c r="E45" s="450"/>
      <c r="F45" s="450"/>
      <c r="G45" s="450"/>
      <c r="H45" s="451"/>
      <c r="I45" s="447"/>
      <c r="J45" s="1113"/>
      <c r="K45" s="1113"/>
      <c r="L45" s="463"/>
      <c r="M45" s="1109"/>
      <c r="N45" s="1109"/>
      <c r="O45" s="449"/>
      <c r="P45" s="449"/>
      <c r="Q45" s="1104"/>
      <c r="R45" s="1104"/>
      <c r="S45" s="363"/>
      <c r="T45" s="444"/>
      <c r="U45" s="444"/>
      <c r="V45" s="444"/>
      <c r="W45" s="444"/>
      <c r="X45" s="444"/>
      <c r="Y45" s="444"/>
      <c r="Z45" s="445"/>
      <c r="AA45" s="444"/>
      <c r="AB45" s="446"/>
      <c r="AC45" s="444"/>
      <c r="AD45" s="446"/>
      <c r="AE45" s="446"/>
      <c r="AF45" s="444"/>
      <c r="AG45" s="444"/>
      <c r="AH45" s="444"/>
      <c r="AI45" s="444"/>
      <c r="AJ45" s="444"/>
      <c r="AK45" s="363"/>
      <c r="AL45" s="363"/>
      <c r="AM45" s="363"/>
      <c r="AN45" s="363"/>
      <c r="AO45" s="363"/>
      <c r="AP45" s="363"/>
      <c r="AQ45" s="363"/>
    </row>
    <row r="46" spans="1:43" s="93" customFormat="1" ht="18.75" hidden="1" customHeight="1">
      <c r="A46" s="452">
        <v>28</v>
      </c>
      <c r="B46" s="447"/>
      <c r="C46" s="448"/>
      <c r="D46" s="449"/>
      <c r="E46" s="450"/>
      <c r="F46" s="450"/>
      <c r="G46" s="450"/>
      <c r="H46" s="451"/>
      <c r="I46" s="447"/>
      <c r="J46" s="1113"/>
      <c r="K46" s="1113"/>
      <c r="L46" s="463"/>
      <c r="M46" s="1109"/>
      <c r="N46" s="1109"/>
      <c r="O46" s="449"/>
      <c r="P46" s="449"/>
      <c r="Q46" s="1104"/>
      <c r="R46" s="1104"/>
      <c r="S46" s="363"/>
      <c r="T46" s="444"/>
      <c r="U46" s="444"/>
      <c r="V46" s="444"/>
      <c r="W46" s="444"/>
      <c r="X46" s="444"/>
      <c r="Y46" s="444"/>
      <c r="Z46" s="445"/>
      <c r="AA46" s="444"/>
      <c r="AB46" s="446"/>
      <c r="AC46" s="444"/>
      <c r="AD46" s="446"/>
      <c r="AE46" s="446"/>
      <c r="AF46" s="444"/>
      <c r="AG46" s="444"/>
      <c r="AH46" s="444"/>
      <c r="AI46" s="444"/>
      <c r="AJ46" s="444"/>
      <c r="AK46" s="363"/>
      <c r="AL46" s="363"/>
      <c r="AM46" s="363"/>
      <c r="AN46" s="363"/>
      <c r="AO46" s="363"/>
      <c r="AP46" s="363"/>
      <c r="AQ46" s="363"/>
    </row>
    <row r="47" spans="1:43" s="93" customFormat="1" ht="15.75" hidden="1" customHeight="1">
      <c r="A47" s="464"/>
      <c r="B47" s="464"/>
      <c r="C47" s="464"/>
      <c r="D47" s="464"/>
      <c r="E47" s="464"/>
      <c r="F47" s="464"/>
      <c r="G47" s="464"/>
      <c r="H47" s="464"/>
      <c r="I47" s="464"/>
      <c r="J47" s="464"/>
      <c r="K47" s="464"/>
      <c r="L47" s="464"/>
      <c r="M47" s="464"/>
      <c r="N47" s="464"/>
      <c r="O47" s="464"/>
      <c r="P47" s="464"/>
      <c r="Q47" s="464"/>
      <c r="R47" s="464"/>
      <c r="S47" s="363"/>
      <c r="T47" s="363"/>
      <c r="U47" s="363"/>
      <c r="V47" s="363"/>
      <c r="W47" s="363"/>
      <c r="X47" s="363"/>
      <c r="Y47" s="363"/>
      <c r="Z47" s="363"/>
      <c r="AA47" s="363"/>
      <c r="AB47" s="363"/>
      <c r="AC47" s="363"/>
      <c r="AD47" s="363"/>
      <c r="AE47" s="363"/>
      <c r="AF47" s="363"/>
      <c r="AG47" s="363"/>
      <c r="AH47" s="363"/>
      <c r="AI47" s="363"/>
      <c r="AJ47" s="363"/>
      <c r="AK47" s="363"/>
      <c r="AL47" s="363"/>
      <c r="AM47" s="363"/>
      <c r="AN47" s="363"/>
      <c r="AO47" s="363"/>
      <c r="AP47" s="363"/>
      <c r="AQ47" s="363"/>
    </row>
    <row r="48" spans="1:43" s="93" customFormat="1" ht="14.25" hidden="1" customHeight="1">
      <c r="A48" s="1108" t="s">
        <v>51</v>
      </c>
      <c r="B48" s="1108" t="s">
        <v>54</v>
      </c>
      <c r="C48" s="1108"/>
      <c r="D48" s="1106" t="s">
        <v>584</v>
      </c>
      <c r="E48" s="1106" t="s">
        <v>167</v>
      </c>
      <c r="F48" s="1106" t="s">
        <v>169</v>
      </c>
      <c r="G48" s="1106" t="s">
        <v>168</v>
      </c>
      <c r="H48" s="1106" t="s">
        <v>170</v>
      </c>
      <c r="I48" s="1106" t="s">
        <v>68</v>
      </c>
      <c r="J48" s="1106" t="s">
        <v>52</v>
      </c>
      <c r="K48" s="1106"/>
      <c r="L48" s="1106" t="s">
        <v>53</v>
      </c>
      <c r="M48" s="1145" t="s">
        <v>88</v>
      </c>
      <c r="N48" s="1145"/>
      <c r="O48" s="1106" t="s">
        <v>87</v>
      </c>
      <c r="P48" s="453"/>
      <c r="Q48" s="1106" t="s">
        <v>86</v>
      </c>
      <c r="R48" s="1106"/>
      <c r="S48" s="363"/>
      <c r="T48" s="363"/>
      <c r="U48" s="444"/>
      <c r="V48" s="444"/>
      <c r="W48" s="444"/>
      <c r="X48" s="444"/>
      <c r="Y48" s="444"/>
      <c r="Z48" s="444"/>
      <c r="AA48" s="444"/>
      <c r="AB48" s="444"/>
      <c r="AC48" s="444"/>
      <c r="AD48" s="444"/>
      <c r="AE48" s="444"/>
      <c r="AF48" s="444"/>
      <c r="AG48" s="444"/>
      <c r="AH48" s="444"/>
      <c r="AI48" s="444"/>
      <c r="AJ48" s="444"/>
      <c r="AK48" s="363"/>
      <c r="AL48" s="363"/>
      <c r="AM48" s="363"/>
      <c r="AN48" s="363"/>
      <c r="AO48" s="363"/>
      <c r="AP48" s="363"/>
      <c r="AQ48" s="363"/>
    </row>
    <row r="49" spans="1:43" s="93" customFormat="1" ht="24" hidden="1" customHeight="1">
      <c r="A49" s="1108"/>
      <c r="B49" s="453" t="s">
        <v>540</v>
      </c>
      <c r="C49" s="454" t="s">
        <v>539</v>
      </c>
      <c r="D49" s="1108"/>
      <c r="E49" s="1108"/>
      <c r="F49" s="1106"/>
      <c r="G49" s="1106"/>
      <c r="H49" s="1106"/>
      <c r="I49" s="1106"/>
      <c r="J49" s="1106"/>
      <c r="K49" s="1106"/>
      <c r="L49" s="1106"/>
      <c r="M49" s="1145"/>
      <c r="N49" s="1145"/>
      <c r="O49" s="1106"/>
      <c r="P49" s="453"/>
      <c r="Q49" s="1106"/>
      <c r="R49" s="1106"/>
      <c r="S49" s="363"/>
      <c r="T49" s="455"/>
      <c r="U49" s="456"/>
      <c r="V49" s="456"/>
      <c r="W49" s="456"/>
      <c r="X49" s="456"/>
      <c r="Y49" s="456"/>
      <c r="Z49" s="457"/>
      <c r="AA49" s="457"/>
      <c r="AB49" s="457"/>
      <c r="AC49" s="457"/>
      <c r="AD49" s="457"/>
      <c r="AE49" s="457"/>
      <c r="AF49" s="457"/>
      <c r="AG49" s="457"/>
      <c r="AH49" s="456"/>
      <c r="AI49" s="456"/>
      <c r="AJ49" s="363"/>
      <c r="AK49" s="363"/>
      <c r="AL49" s="363"/>
      <c r="AM49" s="363"/>
      <c r="AN49" s="363"/>
      <c r="AO49" s="363"/>
      <c r="AP49" s="363"/>
      <c r="AQ49" s="363"/>
    </row>
    <row r="50" spans="1:43" s="93" customFormat="1" ht="20.25" customHeight="1" thickTop="1" thickBot="1">
      <c r="A50" s="1107" t="s">
        <v>495</v>
      </c>
      <c r="B50" s="1107"/>
      <c r="C50" s="1107"/>
      <c r="D50" s="1107"/>
      <c r="E50" s="1107"/>
      <c r="F50" s="1107"/>
      <c r="G50" s="1107"/>
      <c r="H50" s="1107"/>
      <c r="I50" s="1107"/>
      <c r="J50" s="1107"/>
      <c r="K50" s="1107"/>
      <c r="L50" s="1107"/>
      <c r="M50" s="1107"/>
      <c r="N50" s="1107"/>
      <c r="O50" s="1107"/>
      <c r="P50" s="1107"/>
      <c r="Q50" s="1107"/>
      <c r="R50" s="1107"/>
      <c r="S50" s="363"/>
      <c r="T50" s="488"/>
      <c r="U50" s="489"/>
      <c r="V50" s="489"/>
      <c r="W50" s="489"/>
      <c r="X50" s="489"/>
      <c r="Y50" s="489"/>
      <c r="Z50" s="489"/>
      <c r="AA50" s="490"/>
      <c r="AB50" s="491"/>
      <c r="AC50" s="489"/>
      <c r="AD50" s="492"/>
      <c r="AE50" s="493"/>
      <c r="AF50" s="489"/>
      <c r="AG50" s="490"/>
      <c r="AH50" s="489"/>
      <c r="AI50" s="489"/>
      <c r="AJ50" s="489"/>
      <c r="AK50" s="363"/>
      <c r="AL50" s="488"/>
      <c r="AM50" s="363"/>
      <c r="AN50" s="363"/>
      <c r="AO50" s="363"/>
      <c r="AP50" s="363"/>
      <c r="AQ50" s="363"/>
    </row>
    <row r="51" spans="1:43" s="93" customFormat="1" ht="18.75" customHeight="1" thickTop="1">
      <c r="A51" s="497" t="s">
        <v>482</v>
      </c>
      <c r="B51" s="465"/>
      <c r="C51" s="405"/>
      <c r="D51" s="388"/>
      <c r="E51" s="389"/>
      <c r="F51" s="54" t="str">
        <f>IF($P51&gt;'3)招へい者4)受入れ体制'!$D$34,"",'1)受入れ機関概要'!$C$8)</f>
        <v/>
      </c>
      <c r="G51" s="54" t="str">
        <f>IF($P51&gt;'3)招へい者4)受入れ体制'!$D$34,"",'1)受入れ機関概要'!$F$8)</f>
        <v/>
      </c>
      <c r="H51" s="115" t="str">
        <f t="shared" ref="H51" si="14">IF(G51="(出国日)","日程未設定",IF(G51="","",G51-F51+1))</f>
        <v/>
      </c>
      <c r="I51" s="305"/>
      <c r="J51" s="1091"/>
      <c r="K51" s="1091"/>
      <c r="L51" s="461"/>
      <c r="M51" s="1092" t="str">
        <f t="shared" ref="M51:M61" si="15">IF(OR(E51="",F51="(入国日)"),"",DATEDIF(E51,F51,"Y"))</f>
        <v/>
      </c>
      <c r="N51" s="1092"/>
      <c r="O51" s="52"/>
      <c r="P51" s="466">
        <v>1</v>
      </c>
      <c r="Q51" s="1093"/>
      <c r="R51" s="1093"/>
      <c r="S51" s="494" t="str">
        <f>IF(X51="","",1)</f>
        <v/>
      </c>
      <c r="T51" s="291" t="str">
        <f>IF(Y51="","",$D$7)</f>
        <v/>
      </c>
      <c r="U51" s="292" t="str">
        <f t="shared" ref="U51:U80" si="16">IF(Y51="","",$S$1)</f>
        <v/>
      </c>
      <c r="V51" s="292" t="str">
        <f>IF(Y51="","",$D$9)</f>
        <v/>
      </c>
      <c r="W51" s="292" t="str">
        <f>IF(Y51="","",$D$11)</f>
        <v/>
      </c>
      <c r="X51" s="292" t="str">
        <f>IF(Y51="","",INDEX($A$51:$R$80,1,1))</f>
        <v/>
      </c>
      <c r="Y51" s="292" t="str">
        <f>IF(INDEX($A$51:$R$80,1,2)="","",UPPER(CLEAN(TRIM(ASC(INDEX($A$51:$R$80,1,2))))))</f>
        <v/>
      </c>
      <c r="Z51" s="292" t="str" cm="1">
        <f t="array" ref="Z51">IF(X51="","",IF(INDEX($A$51:$R$80,S51,3)="","",INDEX($A$51:$R$80,S51,3)))</f>
        <v/>
      </c>
      <c r="AA51" s="292" t="str" cm="1">
        <f t="array" ref="AA51">IFERROR(INDEX($A$51:$R$80,S51,4),"")</f>
        <v/>
      </c>
      <c r="AB51" s="294" t="str" cm="1">
        <f t="array" ref="AB51">IFERROR(INDEX($A$51:$R$80,S51,5),"")</f>
        <v/>
      </c>
      <c r="AC51" s="292" t="str" cm="1">
        <f t="array" ref="AC51">IFERROR(INDEX($A$51:$R$80,S51,9),"")</f>
        <v/>
      </c>
      <c r="AD51" s="294" t="str" cm="1">
        <f t="array" ref="AD51">IFERROR(INDEX($A$51:$R$80,S51,6),"")</f>
        <v/>
      </c>
      <c r="AE51" s="294" t="str" cm="1">
        <f t="array" ref="AE51">IFERROR(INDEX($A$51:$R$80,S51,7),"")</f>
        <v/>
      </c>
      <c r="AF51" s="292" t="str" cm="1">
        <f t="array" ref="AF51">IFERROR(INDEX($A$51:$R$80,S51,8),"")</f>
        <v/>
      </c>
      <c r="AG51" s="292" t="str" cm="1">
        <f t="array" ref="AG51">IFERROR(INDEX($A$51:$R$80,S51,10),"")</f>
        <v/>
      </c>
      <c r="AH51" s="292" t="str" cm="1">
        <f t="array" ref="AH51">IFERROR(INDEX($A$51:$R$80,S51,12),"")</f>
        <v/>
      </c>
      <c r="AI51" s="292" t="str" cm="1">
        <f t="array" ref="AI51">IF(X51="","",IF(INDEX($A$51:$R$80,S51,15)="","",INDEX($A$51:$R$80,S51,15)))</f>
        <v/>
      </c>
      <c r="AJ51" s="295" t="str" cm="1">
        <f t="array" ref="AJ51">IF(X51="","",IF(INDEX($A$51:$R$80,S51,17)="","",INDEX($A$51:$R$80,S51,17)))</f>
        <v/>
      </c>
      <c r="AK51" s="363"/>
      <c r="AL51" s="363"/>
      <c r="AM51" s="363"/>
      <c r="AN51" s="363"/>
      <c r="AO51" s="363"/>
      <c r="AP51" s="363"/>
      <c r="AQ51" s="363"/>
    </row>
    <row r="52" spans="1:43" s="93" customFormat="1" ht="18.75" customHeight="1">
      <c r="A52" s="498" t="s">
        <v>545</v>
      </c>
      <c r="B52" s="305"/>
      <c r="C52" s="405"/>
      <c r="D52" s="388"/>
      <c r="E52" s="389"/>
      <c r="F52" s="54" t="str">
        <f>IF($P52&gt;'3)招へい者4)受入れ体制'!$D$34,"",'1)受入れ機関概要'!$C$8)</f>
        <v/>
      </c>
      <c r="G52" s="54" t="str">
        <f>IF($P52&gt;'3)招へい者4)受入れ体制'!$D$34,"",'1)受入れ機関概要'!$F$8)</f>
        <v/>
      </c>
      <c r="H52" s="115" t="str">
        <f t="shared" ref="H52:H54" si="17">IF(G52="(出国日)","日程未設定",IF(G52="","",G52-F52+1))</f>
        <v/>
      </c>
      <c r="I52" s="305"/>
      <c r="J52" s="1091"/>
      <c r="K52" s="1091"/>
      <c r="L52" s="461"/>
      <c r="M52" s="1092" t="str">
        <f t="shared" si="15"/>
        <v/>
      </c>
      <c r="N52" s="1092"/>
      <c r="O52" s="52"/>
      <c r="P52" s="466">
        <v>2</v>
      </c>
      <c r="Q52" s="1093"/>
      <c r="R52" s="1093"/>
      <c r="S52" s="494" t="str">
        <f>IF(X52="","",2)</f>
        <v/>
      </c>
      <c r="T52" s="296" t="str">
        <f t="shared" ref="T52:T80" si="18">IF(Y52="","",$D$7)</f>
        <v/>
      </c>
      <c r="U52" s="95" t="str">
        <f t="shared" si="16"/>
        <v/>
      </c>
      <c r="V52" s="95" t="str">
        <f t="shared" ref="V52:V64" si="19">IF(Y52="","",$D$9)</f>
        <v/>
      </c>
      <c r="W52" s="95" t="str">
        <f t="shared" ref="W52:W64" si="20">IF(Y52="","",$D$11)</f>
        <v/>
      </c>
      <c r="X52" s="95" t="str">
        <f>IF(Y52="","",INDEX($A$51:$R$80,2,1))</f>
        <v/>
      </c>
      <c r="Y52" s="95" t="str">
        <f>IF(INDEX($A$51:$R$80,2,2)="","",UPPER(CLEAN(TRIM(ASC(INDEX($A$51:$R$80,2,2))))))</f>
        <v/>
      </c>
      <c r="Z52" s="95" t="str" cm="1">
        <f t="array" ref="Z52">IF(X52="","",IF(INDEX($A$51:$R$80,S52,3)="","",INDEX($A$51:$R$80,S52,3)))</f>
        <v/>
      </c>
      <c r="AA52" s="95" t="str" cm="1">
        <f t="array" ref="AA52">IFERROR(INDEX($A$51:$R$80,S52,4),"")</f>
        <v/>
      </c>
      <c r="AB52" s="97" t="str" cm="1">
        <f t="array" ref="AB52">IFERROR(INDEX($A$51:$R$80,S52,5),"")</f>
        <v/>
      </c>
      <c r="AC52" s="95" t="str" cm="1">
        <f t="array" ref="AC52">IFERROR(INDEX($A$51:$R$80,S52,9),"")</f>
        <v/>
      </c>
      <c r="AD52" s="97" t="str" cm="1">
        <f t="array" ref="AD52">IFERROR(INDEX($A$51:$R$80,S52,6),"")</f>
        <v/>
      </c>
      <c r="AE52" s="97" t="str" cm="1">
        <f t="array" ref="AE52">IFERROR(INDEX($A$51:$R$80,S52,7),"")</f>
        <v/>
      </c>
      <c r="AF52" s="95" t="str" cm="1">
        <f t="array" ref="AF52">IFERROR(INDEX($A$51:$R$80,S52,8),"")</f>
        <v/>
      </c>
      <c r="AG52" s="95" t="str" cm="1">
        <f t="array" ref="AG52">IFERROR(INDEX($A$51:$R$80,S52,10),"")</f>
        <v/>
      </c>
      <c r="AH52" s="95" t="str" cm="1">
        <f t="array" ref="AH52">IFERROR(INDEX($A$51:$R$80,S52,12),"")</f>
        <v/>
      </c>
      <c r="AI52" s="95" t="str" cm="1">
        <f t="array" ref="AI52">IF(X52="","",IF(INDEX($A$51:$R$80,S52,15)="","",INDEX($A$51:$R$80,S52,15)))</f>
        <v/>
      </c>
      <c r="AJ52" s="297" t="str" cm="1">
        <f t="array" ref="AJ52">IF(X52="","",IF(INDEX($A$51:$R$80,S52,17)="","",INDEX($A$51:$R$80,S52,17)))</f>
        <v/>
      </c>
      <c r="AK52" s="363"/>
      <c r="AL52" s="363"/>
      <c r="AM52" s="363"/>
      <c r="AN52" s="363"/>
      <c r="AO52" s="363"/>
      <c r="AP52" s="363"/>
      <c r="AQ52" s="363"/>
    </row>
    <row r="53" spans="1:43" s="93" customFormat="1" ht="18.75" customHeight="1">
      <c r="A53" s="497" t="s">
        <v>483</v>
      </c>
      <c r="B53" s="305"/>
      <c r="C53" s="405"/>
      <c r="D53" s="388"/>
      <c r="E53" s="389"/>
      <c r="F53" s="54" t="str">
        <f>IF($P53&gt;'3)招へい者4)受入れ体制'!$D$34,"",'1)受入れ機関概要'!$C$8)</f>
        <v/>
      </c>
      <c r="G53" s="54" t="str">
        <f>IF($P53&gt;'3)招へい者4)受入れ体制'!$D$34,"",'1)受入れ機関概要'!$F$8)</f>
        <v/>
      </c>
      <c r="H53" s="115" t="str">
        <f t="shared" si="17"/>
        <v/>
      </c>
      <c r="I53" s="305"/>
      <c r="J53" s="1091"/>
      <c r="K53" s="1091"/>
      <c r="L53" s="461"/>
      <c r="M53" s="1092" t="str">
        <f t="shared" si="15"/>
        <v/>
      </c>
      <c r="N53" s="1092"/>
      <c r="O53" s="52"/>
      <c r="P53" s="466">
        <v>3</v>
      </c>
      <c r="Q53" s="1093"/>
      <c r="R53" s="1093"/>
      <c r="S53" s="494" t="str">
        <f>IF(X53="","",3)</f>
        <v/>
      </c>
      <c r="T53" s="296" t="str">
        <f t="shared" si="18"/>
        <v/>
      </c>
      <c r="U53" s="95" t="str">
        <f t="shared" si="16"/>
        <v/>
      </c>
      <c r="V53" s="95" t="str">
        <f t="shared" si="19"/>
        <v/>
      </c>
      <c r="W53" s="95" t="str">
        <f t="shared" si="20"/>
        <v/>
      </c>
      <c r="X53" s="95" t="str">
        <f>IF(Y53="","",INDEX($A$51:$R$80,3,1))</f>
        <v/>
      </c>
      <c r="Y53" s="95" t="str">
        <f>IF(INDEX($A$51:$R$80,3,2)="","",UPPER(CLEAN(TRIM(ASC(INDEX($A$51:$R$80,3,2))))))</f>
        <v/>
      </c>
      <c r="Z53" s="95" t="str" cm="1">
        <f t="array" ref="Z53">IF(X53="","",IF(INDEX($A$51:$R$80,S53,3)="","",INDEX($A$51:$R$80,S53,3)))</f>
        <v/>
      </c>
      <c r="AA53" s="95" t="str" cm="1">
        <f t="array" ref="AA53">IFERROR(INDEX($A$51:$R$80,S53,4),"")</f>
        <v/>
      </c>
      <c r="AB53" s="97" t="str" cm="1">
        <f t="array" ref="AB53">IFERROR(INDEX($A$51:$R$80,S53,5),"")</f>
        <v/>
      </c>
      <c r="AC53" s="95" t="str" cm="1">
        <f t="array" ref="AC53">IFERROR(INDEX($A$51:$R$80,S53,9),"")</f>
        <v/>
      </c>
      <c r="AD53" s="97" t="str" cm="1">
        <f t="array" ref="AD53">IFERROR(INDEX($A$51:$R$80,S53,6),"")</f>
        <v/>
      </c>
      <c r="AE53" s="97" t="str" cm="1">
        <f t="array" ref="AE53">IFERROR(INDEX($A$51:$R$80,S53,7),"")</f>
        <v/>
      </c>
      <c r="AF53" s="95" t="str" cm="1">
        <f t="array" ref="AF53">IFERROR(INDEX($A$51:$R$80,S53,8),"")</f>
        <v/>
      </c>
      <c r="AG53" s="95" t="str" cm="1">
        <f t="array" ref="AG53">IFERROR(INDEX($A$51:$R$80,S53,10),"")</f>
        <v/>
      </c>
      <c r="AH53" s="95" t="str" cm="1">
        <f t="array" ref="AH53">IFERROR(INDEX($A$51:$R$80,S53,12),"")</f>
        <v/>
      </c>
      <c r="AI53" s="95" t="str" cm="1">
        <f t="array" ref="AI53">IF(X53="","",IF(INDEX($A$51:$R$80,S53,15)="","",INDEX($A$51:$R$80,S53,15)))</f>
        <v/>
      </c>
      <c r="AJ53" s="297" t="str" cm="1">
        <f t="array" ref="AJ53">IF(X53="","",IF(INDEX($A$51:$R$80,S53,17)="","",INDEX($A$51:$R$80,S53,17)))</f>
        <v/>
      </c>
      <c r="AK53" s="363"/>
      <c r="AL53" s="363"/>
      <c r="AM53" s="363"/>
      <c r="AN53" s="363"/>
      <c r="AO53" s="363"/>
      <c r="AP53" s="363"/>
      <c r="AQ53" s="363"/>
    </row>
    <row r="54" spans="1:43" s="93" customFormat="1" ht="18.75" customHeight="1">
      <c r="A54" s="498" t="s">
        <v>546</v>
      </c>
      <c r="B54" s="305"/>
      <c r="C54" s="405"/>
      <c r="D54" s="388"/>
      <c r="E54" s="389"/>
      <c r="F54" s="54" t="str">
        <f>IF($P54&gt;'3)招へい者4)受入れ体制'!$D$34,"",'1)受入れ機関概要'!$C$8)</f>
        <v/>
      </c>
      <c r="G54" s="54" t="str">
        <f>IF($P54&gt;'3)招へい者4)受入れ体制'!$D$34,"",'1)受入れ機関概要'!$F$8)</f>
        <v/>
      </c>
      <c r="H54" s="115" t="str">
        <f t="shared" si="17"/>
        <v/>
      </c>
      <c r="I54" s="305"/>
      <c r="J54" s="1091"/>
      <c r="K54" s="1091"/>
      <c r="L54" s="461"/>
      <c r="M54" s="1092" t="str">
        <f t="shared" si="15"/>
        <v/>
      </c>
      <c r="N54" s="1092"/>
      <c r="O54" s="52"/>
      <c r="P54" s="466">
        <v>4</v>
      </c>
      <c r="Q54" s="1093"/>
      <c r="R54" s="1093"/>
      <c r="S54" s="494" t="str">
        <f>IF(X54="","",4)</f>
        <v/>
      </c>
      <c r="T54" s="296" t="str">
        <f t="shared" si="18"/>
        <v/>
      </c>
      <c r="U54" s="95" t="str">
        <f t="shared" si="16"/>
        <v/>
      </c>
      <c r="V54" s="95" t="str">
        <f t="shared" si="19"/>
        <v/>
      </c>
      <c r="W54" s="95" t="str">
        <f t="shared" si="20"/>
        <v/>
      </c>
      <c r="X54" s="95" t="str">
        <f>IF(Y54="","",INDEX($A$51:$R$80,4,1))</f>
        <v/>
      </c>
      <c r="Y54" s="95" t="str">
        <f>IF(INDEX($A$51:$R$80,4,2)="","",UPPER(CLEAN(TRIM(ASC(INDEX($A$51:$R$80,4,2))))))</f>
        <v/>
      </c>
      <c r="Z54" s="95" t="str" cm="1">
        <f t="array" ref="Z54">IF(X54="","",IF(INDEX($A$51:$R$80,S54,3)="","",INDEX($A$51:$R$80,S54,3)))</f>
        <v/>
      </c>
      <c r="AA54" s="95" t="str" cm="1">
        <f t="array" ref="AA54">IFERROR(INDEX($A$51:$R$80,S54,4),"")</f>
        <v/>
      </c>
      <c r="AB54" s="97" t="str" cm="1">
        <f t="array" ref="AB54">IFERROR(INDEX($A$51:$R$80,S54,5),"")</f>
        <v/>
      </c>
      <c r="AC54" s="95" t="str" cm="1">
        <f t="array" ref="AC54">IFERROR(INDEX($A$51:$R$80,S54,9),"")</f>
        <v/>
      </c>
      <c r="AD54" s="97" t="str" cm="1">
        <f t="array" ref="AD54">IFERROR(INDEX($A$51:$R$80,S54,6),"")</f>
        <v/>
      </c>
      <c r="AE54" s="97" t="str" cm="1">
        <f t="array" ref="AE54">IFERROR(INDEX($A$51:$R$80,S54,7),"")</f>
        <v/>
      </c>
      <c r="AF54" s="95" t="str" cm="1">
        <f t="array" ref="AF54">IFERROR(INDEX($A$51:$R$80,S54,8),"")</f>
        <v/>
      </c>
      <c r="AG54" s="95" t="str" cm="1">
        <f t="array" ref="AG54">IFERROR(INDEX($A$51:$R$80,S54,10),"")</f>
        <v/>
      </c>
      <c r="AH54" s="95" t="str" cm="1">
        <f t="array" ref="AH54">IFERROR(INDEX($A$51:$R$80,S54,12),"")</f>
        <v/>
      </c>
      <c r="AI54" s="95" t="str" cm="1">
        <f t="array" ref="AI54">IF(X54="","",IF(INDEX($A$51:$R$80,S54,15)="","",INDEX($A$51:$R$80,S54,15)))</f>
        <v/>
      </c>
      <c r="AJ54" s="297" t="str" cm="1">
        <f t="array" ref="AJ54">IF(X54="","",IF(INDEX($A$51:$R$80,S54,17)="","",INDEX($A$51:$R$80,S54,17)))</f>
        <v/>
      </c>
      <c r="AK54" s="363"/>
      <c r="AL54" s="363"/>
      <c r="AM54" s="363"/>
      <c r="AN54" s="363"/>
      <c r="AO54" s="363"/>
      <c r="AP54" s="363"/>
      <c r="AQ54" s="363"/>
    </row>
    <row r="55" spans="1:43" s="93" customFormat="1" ht="18.75" customHeight="1">
      <c r="A55" s="497" t="s">
        <v>484</v>
      </c>
      <c r="B55" s="305"/>
      <c r="C55" s="405"/>
      <c r="D55" s="388"/>
      <c r="E55" s="389"/>
      <c r="F55" s="54" t="str">
        <f>IF($P55&gt;'3)招へい者4)受入れ体制'!$D$34,"",'1)受入れ機関概要'!$C$8)</f>
        <v/>
      </c>
      <c r="G55" s="54" t="str">
        <f>IF($P55&gt;'3)招へい者4)受入れ体制'!$D$34,"",'1)受入れ機関概要'!$F$8)</f>
        <v/>
      </c>
      <c r="H55" s="115" t="str">
        <f t="shared" ref="H55:H57" si="21">IF(G55="(出国日)","日程未設定",IF(G55="","",G55-F55+1))</f>
        <v/>
      </c>
      <c r="I55" s="305"/>
      <c r="J55" s="1091"/>
      <c r="K55" s="1091"/>
      <c r="L55" s="461"/>
      <c r="M55" s="1092" t="str">
        <f t="shared" si="15"/>
        <v/>
      </c>
      <c r="N55" s="1092"/>
      <c r="O55" s="52"/>
      <c r="P55" s="466">
        <v>5</v>
      </c>
      <c r="Q55" s="1093"/>
      <c r="R55" s="1093"/>
      <c r="S55" s="494" t="str">
        <f>IF(X55="","",5)</f>
        <v/>
      </c>
      <c r="T55" s="296" t="str">
        <f t="shared" si="18"/>
        <v/>
      </c>
      <c r="U55" s="95" t="str">
        <f t="shared" si="16"/>
        <v/>
      </c>
      <c r="V55" s="95" t="str">
        <f t="shared" si="19"/>
        <v/>
      </c>
      <c r="W55" s="95" t="str">
        <f t="shared" si="20"/>
        <v/>
      </c>
      <c r="X55" s="95" t="str">
        <f>IF(Y55="","",INDEX($A$51:$R$80,5,1))</f>
        <v/>
      </c>
      <c r="Y55" s="95" t="str">
        <f>IF(INDEX($A$51:$R$80,5,2)="","",UPPER(CLEAN(TRIM(ASC(INDEX($A$51:$R$80,5,2))))))</f>
        <v/>
      </c>
      <c r="Z55" s="95" t="str" cm="1">
        <f t="array" ref="Z55">IF(X55="","",IF(INDEX($A$51:$R$80,S55,3)="","",INDEX($A$51:$R$80,S55,3)))</f>
        <v/>
      </c>
      <c r="AA55" s="95" t="str" cm="1">
        <f t="array" ref="AA55">IFERROR(INDEX($A$51:$R$80,S55,4),"")</f>
        <v/>
      </c>
      <c r="AB55" s="97" t="str" cm="1">
        <f t="array" ref="AB55">IFERROR(INDEX($A$51:$R$80,S55,5),"")</f>
        <v/>
      </c>
      <c r="AC55" s="95" t="str" cm="1">
        <f t="array" ref="AC55">IFERROR(INDEX($A$51:$R$80,S55,9),"")</f>
        <v/>
      </c>
      <c r="AD55" s="97" t="str" cm="1">
        <f t="array" ref="AD55">IFERROR(INDEX($A$51:$R$80,S55,6),"")</f>
        <v/>
      </c>
      <c r="AE55" s="97" t="str" cm="1">
        <f t="array" ref="AE55">IFERROR(INDEX($A$51:$R$80,S55,7),"")</f>
        <v/>
      </c>
      <c r="AF55" s="95" t="str" cm="1">
        <f t="array" ref="AF55">IFERROR(INDEX($A$51:$R$80,S55,8),"")</f>
        <v/>
      </c>
      <c r="AG55" s="95" t="str" cm="1">
        <f t="array" ref="AG55">IFERROR(INDEX($A$51:$R$80,S55,10),"")</f>
        <v/>
      </c>
      <c r="AH55" s="95" t="str" cm="1">
        <f t="array" ref="AH55">IFERROR(INDEX($A$51:$R$80,S55,12),"")</f>
        <v/>
      </c>
      <c r="AI55" s="95" t="str" cm="1">
        <f t="array" ref="AI55">IF(X55="","",IF(INDEX($A$51:$R$80,S55,15)="","",INDEX($A$51:$R$80,S55,15)))</f>
        <v/>
      </c>
      <c r="AJ55" s="297" t="str" cm="1">
        <f t="array" ref="AJ55">IF(X55="","",IF(INDEX($A$51:$R$80,S55,17)="","",INDEX($A$51:$R$80,S55,17)))</f>
        <v/>
      </c>
      <c r="AK55" s="363"/>
      <c r="AL55" s="363"/>
      <c r="AM55" s="363"/>
      <c r="AN55" s="363"/>
      <c r="AO55" s="363"/>
      <c r="AP55" s="363"/>
      <c r="AQ55" s="363"/>
    </row>
    <row r="56" spans="1:43" s="93" customFormat="1" ht="18.75" customHeight="1">
      <c r="A56" s="498" t="s">
        <v>547</v>
      </c>
      <c r="B56" s="305"/>
      <c r="C56" s="405"/>
      <c r="D56" s="388"/>
      <c r="E56" s="389"/>
      <c r="F56" s="54" t="str">
        <f>IF($P56&gt;'3)招へい者4)受入れ体制'!$D$34,"",'1)受入れ機関概要'!$C$8)</f>
        <v/>
      </c>
      <c r="G56" s="54" t="str">
        <f>IF($P56&gt;'3)招へい者4)受入れ体制'!$D$34,"",'1)受入れ機関概要'!$F$8)</f>
        <v/>
      </c>
      <c r="H56" s="115" t="str">
        <f t="shared" si="21"/>
        <v/>
      </c>
      <c r="I56" s="305"/>
      <c r="J56" s="1091"/>
      <c r="K56" s="1091"/>
      <c r="L56" s="461"/>
      <c r="M56" s="1092" t="str">
        <f t="shared" si="15"/>
        <v/>
      </c>
      <c r="N56" s="1092"/>
      <c r="O56" s="52"/>
      <c r="P56" s="466">
        <v>6</v>
      </c>
      <c r="Q56" s="1093"/>
      <c r="R56" s="1093"/>
      <c r="S56" s="494" t="str">
        <f>IF(X56="","",6)</f>
        <v/>
      </c>
      <c r="T56" s="296" t="str">
        <f t="shared" si="18"/>
        <v/>
      </c>
      <c r="U56" s="95" t="str">
        <f t="shared" si="16"/>
        <v/>
      </c>
      <c r="V56" s="95" t="str">
        <f t="shared" si="19"/>
        <v/>
      </c>
      <c r="W56" s="95" t="str">
        <f t="shared" si="20"/>
        <v/>
      </c>
      <c r="X56" s="95" t="str">
        <f>IF(Y56="","",INDEX($A$51:$R$80,6,1))</f>
        <v/>
      </c>
      <c r="Y56" s="95" t="str">
        <f>IF(INDEX($A$51:$R$80,6,2)="","",UPPER(CLEAN(TRIM(ASC(INDEX($A$51:$R$80,6,2))))))</f>
        <v/>
      </c>
      <c r="Z56" s="95" t="str" cm="1">
        <f t="array" ref="Z56">IF(X56="","",IF(INDEX($A$51:$R$80,S56,3)="","",INDEX($A$51:$R$80,S56,3)))</f>
        <v/>
      </c>
      <c r="AA56" s="95" t="str" cm="1">
        <f t="array" ref="AA56">IFERROR(INDEX($A$51:$R$80,S56,4),"")</f>
        <v/>
      </c>
      <c r="AB56" s="97" t="str" cm="1">
        <f t="array" ref="AB56">IFERROR(INDEX($A$51:$R$80,S56,5),"")</f>
        <v/>
      </c>
      <c r="AC56" s="95" t="str" cm="1">
        <f t="array" ref="AC56">IFERROR(INDEX($A$51:$R$80,S56,9),"")</f>
        <v/>
      </c>
      <c r="AD56" s="97" t="str" cm="1">
        <f t="array" ref="AD56">IFERROR(INDEX($A$51:$R$80,S56,6),"")</f>
        <v/>
      </c>
      <c r="AE56" s="97" t="str" cm="1">
        <f t="array" ref="AE56">IFERROR(INDEX($A$51:$R$80,S56,7),"")</f>
        <v/>
      </c>
      <c r="AF56" s="95" t="str" cm="1">
        <f t="array" ref="AF56">IFERROR(INDEX($A$51:$R$80,S56,8),"")</f>
        <v/>
      </c>
      <c r="AG56" s="95" t="str" cm="1">
        <f t="array" ref="AG56">IFERROR(INDEX($A$51:$R$80,S56,10),"")</f>
        <v/>
      </c>
      <c r="AH56" s="95" t="str" cm="1">
        <f t="array" ref="AH56">IFERROR(INDEX($A$51:$R$80,S56,12),"")</f>
        <v/>
      </c>
      <c r="AI56" s="95" t="str" cm="1">
        <f t="array" ref="AI56">IF(X56="","",IF(INDEX($A$51:$R$80,S56,15)="","",INDEX($A$51:$R$80,S56,15)))</f>
        <v/>
      </c>
      <c r="AJ56" s="297" t="str" cm="1">
        <f t="array" ref="AJ56">IF(X56="","",IF(INDEX($A$51:$R$80,S56,17)="","",INDEX($A$51:$R$80,S56,17)))</f>
        <v/>
      </c>
      <c r="AK56" s="363"/>
      <c r="AL56" s="363"/>
      <c r="AM56" s="363"/>
      <c r="AN56" s="363"/>
      <c r="AO56" s="363"/>
      <c r="AP56" s="363"/>
      <c r="AQ56" s="363"/>
    </row>
    <row r="57" spans="1:43" s="93" customFormat="1" ht="18.75" customHeight="1">
      <c r="A57" s="497" t="s">
        <v>485</v>
      </c>
      <c r="B57" s="305"/>
      <c r="C57" s="405"/>
      <c r="D57" s="388"/>
      <c r="E57" s="389"/>
      <c r="F57" s="54" t="str">
        <f>IF($P57&gt;'3)招へい者4)受入れ体制'!$D$34,"",'1)受入れ機関概要'!$C$8)</f>
        <v/>
      </c>
      <c r="G57" s="54" t="str">
        <f>IF($P57&gt;'3)招へい者4)受入れ体制'!$D$34,"",'1)受入れ機関概要'!$F$8)</f>
        <v/>
      </c>
      <c r="H57" s="115" t="str">
        <f t="shared" si="21"/>
        <v/>
      </c>
      <c r="I57" s="305"/>
      <c r="J57" s="1091"/>
      <c r="K57" s="1091"/>
      <c r="L57" s="461"/>
      <c r="M57" s="1092" t="str">
        <f t="shared" si="15"/>
        <v/>
      </c>
      <c r="N57" s="1092"/>
      <c r="O57" s="52"/>
      <c r="P57" s="466">
        <v>7</v>
      </c>
      <c r="Q57" s="1093"/>
      <c r="R57" s="1093"/>
      <c r="S57" s="494" t="str">
        <f>IF(X57="","",7)</f>
        <v/>
      </c>
      <c r="T57" s="296" t="str">
        <f t="shared" si="18"/>
        <v/>
      </c>
      <c r="U57" s="95" t="str">
        <f t="shared" si="16"/>
        <v/>
      </c>
      <c r="V57" s="95" t="str">
        <f t="shared" si="19"/>
        <v/>
      </c>
      <c r="W57" s="95" t="str">
        <f t="shared" si="20"/>
        <v/>
      </c>
      <c r="X57" s="95" t="str">
        <f>IF(Y57="","",INDEX($A$51:$R$80,7,1))</f>
        <v/>
      </c>
      <c r="Y57" s="95" t="str">
        <f>IF(INDEX($A$51:$R$80,7,2)="","",UPPER(CLEAN(TRIM(ASC(INDEX($A$51:$R$80,7,2))))))</f>
        <v/>
      </c>
      <c r="Z57" s="95" t="str" cm="1">
        <f t="array" ref="Z57">IF(X57="","",IF(INDEX($A$51:$R$80,S57,3)="","",INDEX($A$51:$R$80,S57,3)))</f>
        <v/>
      </c>
      <c r="AA57" s="95" t="str" cm="1">
        <f t="array" ref="AA57">IFERROR(INDEX($A$51:$R$80,S57,4),"")</f>
        <v/>
      </c>
      <c r="AB57" s="97" t="str" cm="1">
        <f t="array" ref="AB57">IFERROR(INDEX($A$51:$R$80,S57,5),"")</f>
        <v/>
      </c>
      <c r="AC57" s="95" t="str" cm="1">
        <f t="array" ref="AC57">IFERROR(INDEX($A$51:$R$80,S57,9),"")</f>
        <v/>
      </c>
      <c r="AD57" s="97" t="str" cm="1">
        <f t="array" ref="AD57">IFERROR(INDEX($A$51:$R$80,S57,6),"")</f>
        <v/>
      </c>
      <c r="AE57" s="97" t="str" cm="1">
        <f t="array" ref="AE57">IFERROR(INDEX($A$51:$R$80,S57,7),"")</f>
        <v/>
      </c>
      <c r="AF57" s="95" t="str" cm="1">
        <f t="array" ref="AF57">IFERROR(INDEX($A$51:$R$80,S57,8),"")</f>
        <v/>
      </c>
      <c r="AG57" s="95" t="str" cm="1">
        <f t="array" ref="AG57">IFERROR(INDEX($A$51:$R$80,S57,10),"")</f>
        <v/>
      </c>
      <c r="AH57" s="95" t="str" cm="1">
        <f t="array" ref="AH57">IFERROR(INDEX($A$51:$R$80,S57,12),"")</f>
        <v/>
      </c>
      <c r="AI57" s="95" t="str" cm="1">
        <f t="array" ref="AI57">IF(X57="","",IF(INDEX($A$51:$R$80,S57,15)="","",INDEX($A$51:$R$80,S57,15)))</f>
        <v/>
      </c>
      <c r="AJ57" s="297" t="str" cm="1">
        <f t="array" ref="AJ57">IF(X57="","",IF(INDEX($A$51:$R$80,S57,17)="","",INDEX($A$51:$R$80,S57,17)))</f>
        <v/>
      </c>
      <c r="AK57" s="363"/>
      <c r="AL57" s="363"/>
      <c r="AM57" s="363"/>
      <c r="AN57" s="363"/>
      <c r="AO57" s="363"/>
      <c r="AP57" s="363"/>
      <c r="AQ57" s="363"/>
    </row>
    <row r="58" spans="1:43" s="93" customFormat="1" ht="18.75" customHeight="1">
      <c r="A58" s="498" t="s">
        <v>548</v>
      </c>
      <c r="B58" s="305"/>
      <c r="C58" s="405"/>
      <c r="D58" s="388"/>
      <c r="E58" s="389"/>
      <c r="F58" s="54" t="str">
        <f>IF($P58&gt;'3)招へい者4)受入れ体制'!$D$34,"",'1)受入れ機関概要'!$C$8)</f>
        <v/>
      </c>
      <c r="G58" s="54" t="str">
        <f>IF($P58&gt;'3)招へい者4)受入れ体制'!$D$34,"",'1)受入れ機関概要'!$F$8)</f>
        <v/>
      </c>
      <c r="H58" s="115" t="str">
        <f t="shared" ref="H58:H60" si="22">IF(G58="(出国日)","日程未設定",IF(G58="","",G58-F58+1))</f>
        <v/>
      </c>
      <c r="I58" s="305"/>
      <c r="J58" s="1091"/>
      <c r="K58" s="1091"/>
      <c r="L58" s="461"/>
      <c r="M58" s="1092" t="str">
        <f t="shared" si="15"/>
        <v/>
      </c>
      <c r="N58" s="1092"/>
      <c r="O58" s="52"/>
      <c r="P58" s="466">
        <v>8</v>
      </c>
      <c r="Q58" s="1093"/>
      <c r="R58" s="1093"/>
      <c r="S58" s="494" t="str">
        <f>IF(X58="","",8)</f>
        <v/>
      </c>
      <c r="T58" s="296" t="str">
        <f t="shared" si="18"/>
        <v/>
      </c>
      <c r="U58" s="95" t="str">
        <f t="shared" si="16"/>
        <v/>
      </c>
      <c r="V58" s="95" t="str">
        <f t="shared" si="19"/>
        <v/>
      </c>
      <c r="W58" s="95" t="str">
        <f t="shared" si="20"/>
        <v/>
      </c>
      <c r="X58" s="95" t="str">
        <f>IF(Y58="","",INDEX($A$51:$R$80,8,1))</f>
        <v/>
      </c>
      <c r="Y58" s="95" t="str">
        <f>IF(INDEX($A$51:$R$80,8,2)="","",UPPER(CLEAN(TRIM(ASC(INDEX($A$51:$R$80,8,2))))))</f>
        <v/>
      </c>
      <c r="Z58" s="95" t="str" cm="1">
        <f t="array" ref="Z58">IF(X58="","",IF(INDEX($A$51:$R$80,S58,3)="","",INDEX($A$51:$R$80,S58,3)))</f>
        <v/>
      </c>
      <c r="AA58" s="95" t="str" cm="1">
        <f t="array" ref="AA58">IFERROR(INDEX($A$51:$R$80,S58,4),"")</f>
        <v/>
      </c>
      <c r="AB58" s="97" t="str" cm="1">
        <f t="array" ref="AB58">IFERROR(INDEX($A$51:$R$80,S58,5),"")</f>
        <v/>
      </c>
      <c r="AC58" s="95" t="str" cm="1">
        <f t="array" ref="AC58">IFERROR(INDEX($A$51:$R$80,S58,9),"")</f>
        <v/>
      </c>
      <c r="AD58" s="97" t="str" cm="1">
        <f t="array" ref="AD58">IFERROR(INDEX($A$51:$R$80,S58,6),"")</f>
        <v/>
      </c>
      <c r="AE58" s="97" t="str" cm="1">
        <f t="array" ref="AE58">IFERROR(INDEX($A$51:$R$80,S58,7),"")</f>
        <v/>
      </c>
      <c r="AF58" s="95" t="str" cm="1">
        <f t="array" ref="AF58">IFERROR(INDEX($A$51:$R$80,S58,8),"")</f>
        <v/>
      </c>
      <c r="AG58" s="95" t="str" cm="1">
        <f t="array" ref="AG58">IFERROR(INDEX($A$51:$R$80,S58,10),"")</f>
        <v/>
      </c>
      <c r="AH58" s="95" t="str" cm="1">
        <f t="array" ref="AH58">IFERROR(INDEX($A$51:$R$80,S58,12),"")</f>
        <v/>
      </c>
      <c r="AI58" s="95" t="str" cm="1">
        <f t="array" ref="AI58">IF(X58="","",IF(INDEX($A$51:$R$80,S58,15)="","",INDEX($A$51:$R$80,S58,15)))</f>
        <v/>
      </c>
      <c r="AJ58" s="297" t="str" cm="1">
        <f t="array" ref="AJ58">IF(X58="","",IF(INDEX($A$51:$R$80,S58,17)="","",INDEX($A$51:$R$80,S58,17)))</f>
        <v/>
      </c>
      <c r="AK58" s="363"/>
      <c r="AL58" s="363"/>
      <c r="AM58" s="363"/>
      <c r="AN58" s="363"/>
      <c r="AO58" s="363"/>
      <c r="AP58" s="363"/>
      <c r="AQ58" s="363"/>
    </row>
    <row r="59" spans="1:43" s="93" customFormat="1" ht="18.75" customHeight="1">
      <c r="A59" s="497" t="s">
        <v>486</v>
      </c>
      <c r="B59" s="305"/>
      <c r="C59" s="405"/>
      <c r="D59" s="388"/>
      <c r="E59" s="389"/>
      <c r="F59" s="54" t="str">
        <f>IF($P59&gt;'3)招へい者4)受入れ体制'!$D$34,"",'1)受入れ機関概要'!$C$8)</f>
        <v/>
      </c>
      <c r="G59" s="54" t="str">
        <f>IF($P59&gt;'3)招へい者4)受入れ体制'!$D$34,"",'1)受入れ機関概要'!$F$8)</f>
        <v/>
      </c>
      <c r="H59" s="115" t="str">
        <f t="shared" si="22"/>
        <v/>
      </c>
      <c r="I59" s="305"/>
      <c r="J59" s="1091"/>
      <c r="K59" s="1091"/>
      <c r="L59" s="461"/>
      <c r="M59" s="1092" t="str">
        <f t="shared" si="15"/>
        <v/>
      </c>
      <c r="N59" s="1092"/>
      <c r="O59" s="52"/>
      <c r="P59" s="466">
        <v>9</v>
      </c>
      <c r="Q59" s="1093"/>
      <c r="R59" s="1093"/>
      <c r="S59" s="494" t="str">
        <f>IF(X59="","",9)</f>
        <v/>
      </c>
      <c r="T59" s="296" t="str">
        <f t="shared" si="18"/>
        <v/>
      </c>
      <c r="U59" s="95" t="str">
        <f t="shared" si="16"/>
        <v/>
      </c>
      <c r="V59" s="95" t="str">
        <f t="shared" si="19"/>
        <v/>
      </c>
      <c r="W59" s="95" t="str">
        <f t="shared" si="20"/>
        <v/>
      </c>
      <c r="X59" s="95" t="str">
        <f>IF(Y59="","",INDEX($A$51:$R$80,9,1))</f>
        <v/>
      </c>
      <c r="Y59" s="95" t="str">
        <f>IF(INDEX($A$51:$R$80,9,2)="","",UPPER(CLEAN(TRIM(ASC(INDEX($A$51:$R$80,9,2))))))</f>
        <v/>
      </c>
      <c r="Z59" s="95" t="str" cm="1">
        <f t="array" ref="Z59">IF(X59="","",IF(INDEX($A$51:$R$80,S59,3)="","",INDEX($A$51:$R$80,S59,3)))</f>
        <v/>
      </c>
      <c r="AA59" s="95" t="str" cm="1">
        <f t="array" ref="AA59">IFERROR(INDEX($A$51:$R$80,S59,4),"")</f>
        <v/>
      </c>
      <c r="AB59" s="97" t="str" cm="1">
        <f t="array" ref="AB59">IFERROR(INDEX($A$51:$R$80,S59,5),"")</f>
        <v/>
      </c>
      <c r="AC59" s="95" t="str" cm="1">
        <f t="array" ref="AC59">IFERROR(INDEX($A$51:$R$80,S59,9),"")</f>
        <v/>
      </c>
      <c r="AD59" s="97" t="str" cm="1">
        <f t="array" ref="AD59">IFERROR(INDEX($A$51:$R$80,S59,6),"")</f>
        <v/>
      </c>
      <c r="AE59" s="97" t="str" cm="1">
        <f t="array" ref="AE59">IFERROR(INDEX($A$51:$R$80,S59,7),"")</f>
        <v/>
      </c>
      <c r="AF59" s="95" t="str" cm="1">
        <f t="array" ref="AF59">IFERROR(INDEX($A$51:$R$80,S59,8),"")</f>
        <v/>
      </c>
      <c r="AG59" s="95" t="str" cm="1">
        <f t="array" ref="AG59">IFERROR(INDEX($A$51:$R$80,S59,10),"")</f>
        <v/>
      </c>
      <c r="AH59" s="95" t="str" cm="1">
        <f t="array" ref="AH59">IFERROR(INDEX($A$51:$R$80,S59,12),"")</f>
        <v/>
      </c>
      <c r="AI59" s="95" t="str" cm="1">
        <f t="array" ref="AI59">IF(X59="","",IF(INDEX($A$51:$R$80,S59,15)="","",INDEX($A$51:$R$80,S59,15)))</f>
        <v/>
      </c>
      <c r="AJ59" s="297" t="str" cm="1">
        <f t="array" ref="AJ59">IF(X59="","",IF(INDEX($A$51:$R$80,S59,17)="","",INDEX($A$51:$R$80,S59,17)))</f>
        <v/>
      </c>
      <c r="AK59" s="363"/>
      <c r="AL59" s="363"/>
      <c r="AM59" s="363"/>
      <c r="AN59" s="363"/>
      <c r="AO59" s="363"/>
      <c r="AP59" s="363"/>
      <c r="AQ59" s="363"/>
    </row>
    <row r="60" spans="1:43" s="93" customFormat="1" ht="18.75" customHeight="1">
      <c r="A60" s="498" t="s">
        <v>549</v>
      </c>
      <c r="B60" s="305"/>
      <c r="C60" s="405"/>
      <c r="D60" s="388"/>
      <c r="E60" s="389"/>
      <c r="F60" s="54" t="str">
        <f>IF($P60&gt;'3)招へい者4)受入れ体制'!$D$34,"",'1)受入れ機関概要'!$C$8)</f>
        <v/>
      </c>
      <c r="G60" s="54" t="str">
        <f>IF($P60&gt;'3)招へい者4)受入れ体制'!$D$34,"",'1)受入れ機関概要'!$F$8)</f>
        <v/>
      </c>
      <c r="H60" s="115" t="str">
        <f t="shared" si="22"/>
        <v/>
      </c>
      <c r="I60" s="305"/>
      <c r="J60" s="1091"/>
      <c r="K60" s="1091"/>
      <c r="L60" s="461"/>
      <c r="M60" s="1092" t="str">
        <f t="shared" si="15"/>
        <v/>
      </c>
      <c r="N60" s="1092"/>
      <c r="O60" s="52"/>
      <c r="P60" s="466">
        <v>10</v>
      </c>
      <c r="Q60" s="1093"/>
      <c r="R60" s="1093"/>
      <c r="S60" s="494" t="str">
        <f>IF(X60="","",10)</f>
        <v/>
      </c>
      <c r="T60" s="296" t="str">
        <f t="shared" si="18"/>
        <v/>
      </c>
      <c r="U60" s="95" t="str">
        <f t="shared" si="16"/>
        <v/>
      </c>
      <c r="V60" s="95" t="str">
        <f t="shared" si="19"/>
        <v/>
      </c>
      <c r="W60" s="95" t="str">
        <f t="shared" si="20"/>
        <v/>
      </c>
      <c r="X60" s="95" t="str">
        <f>IF(Y60="","",INDEX($A$51:$R$80,10,1))</f>
        <v/>
      </c>
      <c r="Y60" s="95" t="str">
        <f>IF(INDEX($A$51:$R$80,10,2)="","",UPPER(CLEAN(TRIM(ASC(INDEX($A$51:$R$80,10,2))))))</f>
        <v/>
      </c>
      <c r="Z60" s="95" t="str" cm="1">
        <f t="array" ref="Z60">IF(X60="","",IF(INDEX($A$51:$R$80,S60,3)="","",INDEX($A$51:$R$80,S60,3)))</f>
        <v/>
      </c>
      <c r="AA60" s="95" t="str" cm="1">
        <f t="array" ref="AA60">IFERROR(INDEX($A$51:$R$80,S60,4),"")</f>
        <v/>
      </c>
      <c r="AB60" s="97" t="str" cm="1">
        <f t="array" ref="AB60">IFERROR(INDEX($A$51:$R$80,S60,5),"")</f>
        <v/>
      </c>
      <c r="AC60" s="95" t="str" cm="1">
        <f t="array" ref="AC60">IFERROR(INDEX($A$51:$R$80,S60,9),"")</f>
        <v/>
      </c>
      <c r="AD60" s="97" t="str" cm="1">
        <f t="array" ref="AD60">IFERROR(INDEX($A$51:$R$80,S60,6),"")</f>
        <v/>
      </c>
      <c r="AE60" s="97" t="str" cm="1">
        <f t="array" ref="AE60">IFERROR(INDEX($A$51:$R$80,S60,7),"")</f>
        <v/>
      </c>
      <c r="AF60" s="95" t="str" cm="1">
        <f t="array" ref="AF60">IFERROR(INDEX($A$51:$R$80,S60,8),"")</f>
        <v/>
      </c>
      <c r="AG60" s="95" t="str" cm="1">
        <f t="array" ref="AG60">IFERROR(INDEX($A$51:$R$80,S60,10),"")</f>
        <v/>
      </c>
      <c r="AH60" s="95" t="str" cm="1">
        <f t="array" ref="AH60">IFERROR(INDEX($A$51:$R$80,S60,12),"")</f>
        <v/>
      </c>
      <c r="AI60" s="95" t="str" cm="1">
        <f t="array" ref="AI60">IF(X60="","",IF(INDEX($A$51:$R$80,S60,15)="","",INDEX($A$51:$R$80,S60,15)))</f>
        <v/>
      </c>
      <c r="AJ60" s="297" t="str" cm="1">
        <f t="array" ref="AJ60">IF(X60="","",IF(INDEX($A$51:$R$80,S60,17)="","",INDEX($A$51:$R$80,S60,17)))</f>
        <v/>
      </c>
      <c r="AK60" s="363"/>
      <c r="AL60" s="363"/>
      <c r="AM60" s="363"/>
      <c r="AN60" s="363"/>
      <c r="AO60" s="363"/>
      <c r="AP60" s="363"/>
      <c r="AQ60" s="363"/>
    </row>
    <row r="61" spans="1:43" s="93" customFormat="1" ht="18.75" customHeight="1">
      <c r="A61" s="497" t="s">
        <v>487</v>
      </c>
      <c r="B61" s="305"/>
      <c r="C61" s="405"/>
      <c r="D61" s="388"/>
      <c r="E61" s="389"/>
      <c r="F61" s="54" t="str">
        <f>IF($P61&gt;'3)招へい者4)受入れ体制'!$D$34,"",'1)受入れ機関概要'!$C$8)</f>
        <v/>
      </c>
      <c r="G61" s="54" t="str">
        <f>IF($P61&gt;'3)招へい者4)受入れ体制'!$D$34,"",'1)受入れ機関概要'!$F$8)</f>
        <v/>
      </c>
      <c r="H61" s="115" t="str">
        <f t="shared" ref="H61:H65" si="23">IF(G61="(出国日)","日程未設定",IF(G61="","",G61-F61+1))</f>
        <v/>
      </c>
      <c r="I61" s="305"/>
      <c r="J61" s="1091"/>
      <c r="K61" s="1091"/>
      <c r="L61" s="461"/>
      <c r="M61" s="1092" t="str">
        <f t="shared" si="15"/>
        <v/>
      </c>
      <c r="N61" s="1092"/>
      <c r="O61" s="52"/>
      <c r="P61" s="466">
        <v>11</v>
      </c>
      <c r="Q61" s="1093"/>
      <c r="R61" s="1093"/>
      <c r="S61" s="494" t="str">
        <f>IF(X61="","",11)</f>
        <v/>
      </c>
      <c r="T61" s="296" t="str">
        <f t="shared" si="18"/>
        <v/>
      </c>
      <c r="U61" s="95" t="str">
        <f t="shared" si="16"/>
        <v/>
      </c>
      <c r="V61" s="95" t="str">
        <f t="shared" si="19"/>
        <v/>
      </c>
      <c r="W61" s="95" t="str">
        <f t="shared" si="20"/>
        <v/>
      </c>
      <c r="X61" s="95" t="str">
        <f>IF(Y61="","",INDEX($A$51:$R$80,11,1))</f>
        <v/>
      </c>
      <c r="Y61" s="95" t="str">
        <f>IF(INDEX($A$51:$R$80,11,2)="","",UPPER(CLEAN(TRIM(ASC(INDEX($A$51:$R$80,11,2))))))</f>
        <v/>
      </c>
      <c r="Z61" s="95" t="str" cm="1">
        <f t="array" ref="Z61">IF(X61="","",IF(INDEX($A$51:$R$80,S61,3)="","",INDEX($A$51:$R$80,S61,3)))</f>
        <v/>
      </c>
      <c r="AA61" s="95" t="str" cm="1">
        <f t="array" ref="AA61">IFERROR(INDEX($A$51:$R$80,S61,4),"")</f>
        <v/>
      </c>
      <c r="AB61" s="97" t="str" cm="1">
        <f t="array" ref="AB61">IFERROR(INDEX($A$51:$R$80,S61,5),"")</f>
        <v/>
      </c>
      <c r="AC61" s="95" t="str" cm="1">
        <f t="array" ref="AC61">IFERROR(INDEX($A$51:$R$80,S61,9),"")</f>
        <v/>
      </c>
      <c r="AD61" s="97" t="str" cm="1">
        <f t="array" ref="AD61">IFERROR(INDEX($A$51:$R$80,S61,6),"")</f>
        <v/>
      </c>
      <c r="AE61" s="97" t="str" cm="1">
        <f t="array" ref="AE61">IFERROR(INDEX($A$51:$R$80,S61,7),"")</f>
        <v/>
      </c>
      <c r="AF61" s="95" t="str" cm="1">
        <f t="array" ref="AF61">IFERROR(INDEX($A$51:$R$80,S61,8),"")</f>
        <v/>
      </c>
      <c r="AG61" s="95" t="str" cm="1">
        <f t="array" ref="AG61">IFERROR(INDEX($A$51:$R$80,S61,10),"")</f>
        <v/>
      </c>
      <c r="AH61" s="95" t="str" cm="1">
        <f t="array" ref="AH61">IFERROR(INDEX($A$51:$R$80,S61,12),"")</f>
        <v/>
      </c>
      <c r="AI61" s="95" t="str" cm="1">
        <f t="array" ref="AI61">IF(X61="","",IF(INDEX($A$51:$R$80,S61,15)="","",INDEX($A$51:$R$80,S61,15)))</f>
        <v/>
      </c>
      <c r="AJ61" s="297" t="str" cm="1">
        <f t="array" ref="AJ61">IF(X61="","",IF(INDEX($A$51:$R$80,S61,17)="","",INDEX($A$51:$R$80,S61,17)))</f>
        <v/>
      </c>
      <c r="AK61" s="363"/>
      <c r="AL61" s="363"/>
      <c r="AM61" s="363"/>
      <c r="AN61" s="363"/>
      <c r="AO61" s="363"/>
      <c r="AP61" s="363"/>
      <c r="AQ61" s="363"/>
    </row>
    <row r="62" spans="1:43" s="93" customFormat="1" ht="18.75" customHeight="1">
      <c r="A62" s="497" t="s">
        <v>488</v>
      </c>
      <c r="B62" s="305"/>
      <c r="C62" s="405"/>
      <c r="D62" s="388"/>
      <c r="E62" s="389"/>
      <c r="F62" s="54" t="str">
        <f>IF($P62&gt;'3)招へい者4)受入れ体制'!$D$34,"",'1)受入れ機関概要'!$C$8)</f>
        <v/>
      </c>
      <c r="G62" s="54" t="str">
        <f>IF($P62&gt;'3)招へい者4)受入れ体制'!$D$34,"",'1)受入れ機関概要'!$F$8)</f>
        <v/>
      </c>
      <c r="H62" s="115" t="str">
        <f t="shared" si="23"/>
        <v/>
      </c>
      <c r="I62" s="305"/>
      <c r="J62" s="1091"/>
      <c r="K62" s="1091"/>
      <c r="L62" s="461"/>
      <c r="M62" s="1092" t="str">
        <f t="shared" ref="M62:M65" si="24">IF(OR(E62="",F62="(入国日)"),"",DATEDIF(E62,F62,"Y"))</f>
        <v/>
      </c>
      <c r="N62" s="1092"/>
      <c r="O62" s="52"/>
      <c r="P62" s="466">
        <v>12</v>
      </c>
      <c r="Q62" s="1093"/>
      <c r="R62" s="1093"/>
      <c r="S62" s="494" t="str">
        <f>IF(X62="","",12)</f>
        <v/>
      </c>
      <c r="T62" s="296" t="str">
        <f t="shared" si="18"/>
        <v/>
      </c>
      <c r="U62" s="418" t="str">
        <f t="shared" si="16"/>
        <v/>
      </c>
      <c r="V62" s="418" t="str">
        <f t="shared" si="19"/>
        <v/>
      </c>
      <c r="W62" s="418" t="str">
        <f t="shared" si="20"/>
        <v/>
      </c>
      <c r="X62" s="418" t="str">
        <f>IF(Y62="","",INDEX($A$51:$R$80,12,1))</f>
        <v/>
      </c>
      <c r="Y62" s="418" t="str">
        <f>IF(INDEX($A$51:$R$80,12,2)="","",UPPER(CLEAN(TRIM(ASC(INDEX($A$51:$R$80,12,2))))))</f>
        <v/>
      </c>
      <c r="Z62" s="418" t="str" cm="1">
        <f t="array" ref="Z62">IF(X62="","",IF(INDEX($A$51:$R$80,S62,3)="","",INDEX($A$51:$R$80,S62,3)))</f>
        <v/>
      </c>
      <c r="AA62" s="418" t="str" cm="1">
        <f t="array" ref="AA62">IFERROR(INDEX($A$51:$R$80,S62,4),"")</f>
        <v/>
      </c>
      <c r="AB62" s="419" t="str" cm="1">
        <f t="array" ref="AB62">IFERROR(INDEX($A$51:$R$80,S62,5),"")</f>
        <v/>
      </c>
      <c r="AC62" s="418" t="str" cm="1">
        <f t="array" ref="AC62">IFERROR(INDEX($A$51:$R$80,S62,9),"")</f>
        <v/>
      </c>
      <c r="AD62" s="419" t="str" cm="1">
        <f t="array" ref="AD62">IFERROR(INDEX($A$51:$R$80,S62,6),"")</f>
        <v/>
      </c>
      <c r="AE62" s="419" t="str" cm="1">
        <f t="array" ref="AE62">IFERROR(INDEX($A$51:$R$80,S62,7),"")</f>
        <v/>
      </c>
      <c r="AF62" s="418" t="str" cm="1">
        <f t="array" ref="AF62">IFERROR(INDEX($A$51:$R$80,S62,8),"")</f>
        <v/>
      </c>
      <c r="AG62" s="418" t="str" cm="1">
        <f t="array" ref="AG62">IFERROR(INDEX($A$51:$R$80,S62,10),"")</f>
        <v/>
      </c>
      <c r="AH62" s="418" t="str" cm="1">
        <f t="array" ref="AH62">IFERROR(INDEX($A$51:$R$80,S62,12),"")</f>
        <v/>
      </c>
      <c r="AI62" s="418" t="str" cm="1">
        <f t="array" ref="AI62">IF(X62="","",IF(INDEX($A$51:$R$80,S62,15)="","",INDEX($A$51:$R$80,S62,15)))</f>
        <v/>
      </c>
      <c r="AJ62" s="420" t="str" cm="1">
        <f t="array" ref="AJ62">IF(X62="","",IF(INDEX($A$51:$R$80,S62,17)="","",INDEX($A$51:$R$80,S62,17)))</f>
        <v/>
      </c>
      <c r="AK62" s="363"/>
      <c r="AL62" s="363"/>
      <c r="AM62" s="363"/>
      <c r="AN62" s="363"/>
      <c r="AO62" s="363"/>
      <c r="AP62" s="363"/>
      <c r="AQ62" s="363"/>
    </row>
    <row r="63" spans="1:43" s="93" customFormat="1" ht="18.75" customHeight="1">
      <c r="A63" s="498" t="s">
        <v>620</v>
      </c>
      <c r="B63" s="305"/>
      <c r="C63" s="405"/>
      <c r="D63" s="388"/>
      <c r="E63" s="389"/>
      <c r="F63" s="54" t="str">
        <f>IF($P63&gt;'3)招へい者4)受入れ体制'!$D$34,"",'1)受入れ機関概要'!$C$8)</f>
        <v/>
      </c>
      <c r="G63" s="54" t="str">
        <f>IF($P63&gt;'3)招へい者4)受入れ体制'!$D$34,"",'1)受入れ機関概要'!$F$8)</f>
        <v/>
      </c>
      <c r="H63" s="115" t="str">
        <f t="shared" si="23"/>
        <v/>
      </c>
      <c r="I63" s="305"/>
      <c r="J63" s="1091"/>
      <c r="K63" s="1091"/>
      <c r="L63" s="461"/>
      <c r="M63" s="1092" t="str">
        <f t="shared" si="24"/>
        <v/>
      </c>
      <c r="N63" s="1092"/>
      <c r="O63" s="52"/>
      <c r="P63" s="449">
        <v>13</v>
      </c>
      <c r="Q63" s="1093"/>
      <c r="R63" s="1093"/>
      <c r="S63" s="494" t="str">
        <f>IF(X63="","",13)</f>
        <v/>
      </c>
      <c r="T63" s="296" t="str">
        <f t="shared" si="18"/>
        <v/>
      </c>
      <c r="U63" s="95" t="str">
        <f t="shared" si="16"/>
        <v/>
      </c>
      <c r="V63" s="95" t="str">
        <f t="shared" si="19"/>
        <v/>
      </c>
      <c r="W63" s="95" t="str">
        <f t="shared" si="20"/>
        <v/>
      </c>
      <c r="X63" s="95" t="str">
        <f>IF(Y63="","",INDEX($A$51:$R$80,13,1))</f>
        <v/>
      </c>
      <c r="Y63" s="95" t="str">
        <f>IF(INDEX($A$51:$R$80,13,2)="","",UPPER(CLEAN(TRIM(ASC(INDEX($A$51:$R$80,13,2))))))</f>
        <v/>
      </c>
      <c r="Z63" s="95" t="str" cm="1">
        <f t="array" ref="Z63">IF(X63="","",IF(INDEX($A$51:$R$80,S63,3)="","",INDEX($A$51:$R$80,S63,3)))</f>
        <v/>
      </c>
      <c r="AA63" s="95" t="str" cm="1">
        <f t="array" ref="AA63">IFERROR(INDEX($A$51:$R$80,S63,4),"")</f>
        <v/>
      </c>
      <c r="AB63" s="97" t="str" cm="1">
        <f t="array" ref="AB63">IFERROR(INDEX($A$51:$R$80,S63,5),"")</f>
        <v/>
      </c>
      <c r="AC63" s="95" t="str" cm="1">
        <f t="array" ref="AC63">IFERROR(INDEX($A$51:$R$80,S63,9),"")</f>
        <v/>
      </c>
      <c r="AD63" s="97" t="str" cm="1">
        <f t="array" ref="AD63">IFERROR(INDEX($A$51:$R$80,S63,6),"")</f>
        <v/>
      </c>
      <c r="AE63" s="97" t="str" cm="1">
        <f t="array" ref="AE63">IFERROR(INDEX($A$51:$R$80,S63,7),"")</f>
        <v/>
      </c>
      <c r="AF63" s="95" t="str" cm="1">
        <f t="array" ref="AF63">IFERROR(INDEX($A$51:$R$80,S63,8),"")</f>
        <v/>
      </c>
      <c r="AG63" s="95" t="str" cm="1">
        <f t="array" ref="AG63">IFERROR(INDEX($A$51:$R$80,S63,10),"")</f>
        <v/>
      </c>
      <c r="AH63" s="95" t="str" cm="1">
        <f t="array" ref="AH63">IFERROR(INDEX($A$51:$R$80,S63,12),"")</f>
        <v/>
      </c>
      <c r="AI63" s="95" t="str" cm="1">
        <f t="array" ref="AI63">IF(X63="","",IF(INDEX($A$51:$R$80,S63,15)="","",INDEX($A$51:$R$80,S63,15)))</f>
        <v/>
      </c>
      <c r="AJ63" s="297" t="str" cm="1">
        <f t="array" ref="AJ63">IF(X63="","",IF(INDEX($A$51:$R$80,S63,17)="","",INDEX($A$51:$R$80,S63,17)))</f>
        <v/>
      </c>
      <c r="AK63" s="363"/>
      <c r="AL63" s="363"/>
      <c r="AM63" s="363"/>
      <c r="AN63" s="363"/>
      <c r="AO63" s="363"/>
      <c r="AP63" s="363"/>
      <c r="AQ63" s="363"/>
    </row>
    <row r="64" spans="1:43" s="93" customFormat="1" ht="18.75" customHeight="1">
      <c r="A64" s="497" t="s">
        <v>489</v>
      </c>
      <c r="B64" s="305"/>
      <c r="C64" s="405"/>
      <c r="D64" s="388"/>
      <c r="E64" s="389"/>
      <c r="F64" s="54" t="str">
        <f>IF($P64&gt;'3)招へい者4)受入れ体制'!$D$34,"",'1)受入れ機関概要'!$C$8)</f>
        <v/>
      </c>
      <c r="G64" s="54" t="str">
        <f>IF($P64&gt;'3)招へい者4)受入れ体制'!$D$34,"",'1)受入れ機関概要'!$F$8)</f>
        <v/>
      </c>
      <c r="H64" s="115" t="str">
        <f t="shared" si="23"/>
        <v/>
      </c>
      <c r="I64" s="305"/>
      <c r="J64" s="1091"/>
      <c r="K64" s="1091"/>
      <c r="L64" s="461"/>
      <c r="M64" s="1092" t="str">
        <f t="shared" si="24"/>
        <v/>
      </c>
      <c r="N64" s="1092"/>
      <c r="O64" s="52"/>
      <c r="P64" s="449">
        <v>14</v>
      </c>
      <c r="Q64" s="1093"/>
      <c r="R64" s="1093"/>
      <c r="S64" s="494" t="str">
        <f>IF(X64="","",14)</f>
        <v/>
      </c>
      <c r="T64" s="296" t="str">
        <f t="shared" si="18"/>
        <v/>
      </c>
      <c r="U64" s="95" t="str">
        <f t="shared" si="16"/>
        <v/>
      </c>
      <c r="V64" s="95" t="str">
        <f t="shared" si="19"/>
        <v/>
      </c>
      <c r="W64" s="95" t="str">
        <f t="shared" si="20"/>
        <v/>
      </c>
      <c r="X64" s="95" t="str">
        <f>IF(Y64="","",INDEX($A$51:$R$80,14,1))</f>
        <v/>
      </c>
      <c r="Y64" s="95" t="str">
        <f>IF(INDEX($A$51:$R$80,14,2)="","",UPPER(CLEAN(TRIM(ASC(INDEX($A$51:$R$80,14,2))))))</f>
        <v/>
      </c>
      <c r="Z64" s="95" t="str" cm="1">
        <f t="array" ref="Z64">IF(X64="","",IF(INDEX($A$51:$R$80,S64,3)="","",INDEX($A$51:$R$80,S64,3)))</f>
        <v/>
      </c>
      <c r="AA64" s="95" t="str" cm="1">
        <f t="array" ref="AA64">IFERROR(INDEX($A$51:$R$80,S64,4),"")</f>
        <v/>
      </c>
      <c r="AB64" s="97" t="str" cm="1">
        <f t="array" ref="AB64">IFERROR(INDEX($A$51:$R$80,S64,5),"")</f>
        <v/>
      </c>
      <c r="AC64" s="95" t="str" cm="1">
        <f t="array" ref="AC64">IFERROR(INDEX($A$51:$R$80,S64,9),"")</f>
        <v/>
      </c>
      <c r="AD64" s="97" t="str" cm="1">
        <f t="array" ref="AD64">IFERROR(INDEX($A$51:$R$80,S64,6),"")</f>
        <v/>
      </c>
      <c r="AE64" s="97" t="str" cm="1">
        <f t="array" ref="AE64">IFERROR(INDEX($A$51:$R$80,S64,7),"")</f>
        <v/>
      </c>
      <c r="AF64" s="95" t="str" cm="1">
        <f t="array" ref="AF64">IFERROR(INDEX($A$51:$R$80,S64,8),"")</f>
        <v/>
      </c>
      <c r="AG64" s="95" t="str" cm="1">
        <f t="array" ref="AG64">IFERROR(INDEX($A$51:$R$80,S64,10),"")</f>
        <v/>
      </c>
      <c r="AH64" s="95" t="str" cm="1">
        <f t="array" ref="AH64">IFERROR(INDEX($A$51:$R$80,S64,12),"")</f>
        <v/>
      </c>
      <c r="AI64" s="95" t="str" cm="1">
        <f t="array" ref="AI64">IF(X64="","",IF(INDEX($A$51:$R$80,S64,15)="","",INDEX($A$51:$R$80,S64,15)))</f>
        <v/>
      </c>
      <c r="AJ64" s="297" t="str" cm="1">
        <f t="array" ref="AJ64">IF(X64="","",IF(INDEX($A$51:$R$80,S64,17)="","",INDEX($A$51:$R$80,S64,17)))</f>
        <v/>
      </c>
      <c r="AK64" s="363"/>
      <c r="AL64" s="363"/>
      <c r="AM64" s="363"/>
      <c r="AN64" s="363"/>
      <c r="AO64" s="363"/>
      <c r="AP64" s="363"/>
      <c r="AQ64" s="363"/>
    </row>
    <row r="65" spans="1:43" s="93" customFormat="1" ht="18.75" customHeight="1">
      <c r="A65" s="498" t="s">
        <v>621</v>
      </c>
      <c r="B65" s="305"/>
      <c r="C65" s="405"/>
      <c r="D65" s="388"/>
      <c r="E65" s="389"/>
      <c r="F65" s="54" t="str">
        <f>IF($P65&gt;'3)招へい者4)受入れ体制'!$D$34,"",'1)受入れ機関概要'!$C$8)</f>
        <v/>
      </c>
      <c r="G65" s="54" t="str">
        <f>IF($P65&gt;'3)招へい者4)受入れ体制'!$D$34,"",'1)受入れ機関概要'!$F$8)</f>
        <v/>
      </c>
      <c r="H65" s="115" t="str">
        <f t="shared" si="23"/>
        <v/>
      </c>
      <c r="I65" s="305"/>
      <c r="J65" s="1091"/>
      <c r="K65" s="1091"/>
      <c r="L65" s="461"/>
      <c r="M65" s="1092" t="str">
        <f t="shared" si="24"/>
        <v/>
      </c>
      <c r="N65" s="1092"/>
      <c r="O65" s="52"/>
      <c r="P65" s="449">
        <v>15</v>
      </c>
      <c r="Q65" s="1093"/>
      <c r="R65" s="1093"/>
      <c r="S65" s="494" t="str">
        <f>IF(X65="","",15)</f>
        <v/>
      </c>
      <c r="T65" s="296" t="str">
        <f t="shared" si="18"/>
        <v/>
      </c>
      <c r="U65" s="95" t="str">
        <f t="shared" si="16"/>
        <v/>
      </c>
      <c r="V65" s="95" t="str">
        <f t="shared" ref="V65:V80" si="25">IF(Y65="","",$D$9)</f>
        <v/>
      </c>
      <c r="W65" s="95" t="str">
        <f t="shared" ref="W65:W80" si="26">IF(Y65="","",$D$11)</f>
        <v/>
      </c>
      <c r="X65" s="95" t="str">
        <f>IF(Y65="","",INDEX($A$51:$R$80,15,1))</f>
        <v/>
      </c>
      <c r="Y65" s="95" t="str">
        <f>IF(INDEX($A$51:$R$80,15,2)="","",UPPER(CLEAN(TRIM(ASC(INDEX($A$51:$R$80,15,2))))))</f>
        <v/>
      </c>
      <c r="Z65" s="95" t="str" cm="1">
        <f t="array" ref="Z65">IF(X65="","",IF(INDEX($A$51:$R$80,S65,3)="","",INDEX($A$51:$R$80,S65,3)))</f>
        <v/>
      </c>
      <c r="AA65" s="95" t="str" cm="1">
        <f t="array" ref="AA65">IFERROR(INDEX($A$51:$R$80,S65,4),"")</f>
        <v/>
      </c>
      <c r="AB65" s="97" t="str" cm="1">
        <f t="array" ref="AB65">IFERROR(INDEX($A$51:$R$80,S65,5),"")</f>
        <v/>
      </c>
      <c r="AC65" s="95" t="str" cm="1">
        <f t="array" ref="AC65">IFERROR(INDEX($A$51:$R$80,S65,9),"")</f>
        <v/>
      </c>
      <c r="AD65" s="97" t="str" cm="1">
        <f t="array" ref="AD65">IFERROR(INDEX($A$51:$R$80,S65,6),"")</f>
        <v/>
      </c>
      <c r="AE65" s="97" t="str" cm="1">
        <f t="array" ref="AE65">IFERROR(INDEX($A$51:$R$80,S65,7),"")</f>
        <v/>
      </c>
      <c r="AF65" s="95" t="str" cm="1">
        <f t="array" ref="AF65">IFERROR(INDEX($A$51:$R$80,S65,8),"")</f>
        <v/>
      </c>
      <c r="AG65" s="95" t="str" cm="1">
        <f t="array" ref="AG65">IFERROR(INDEX($A$51:$R$80,S65,10),"")</f>
        <v/>
      </c>
      <c r="AH65" s="95" t="str" cm="1">
        <f t="array" ref="AH65">IFERROR(INDEX($A$51:$R$80,S65,12),"")</f>
        <v/>
      </c>
      <c r="AI65" s="95" t="str" cm="1">
        <f t="array" ref="AI65">IF(X65="","",IF(INDEX($A$51:$R$80,S65,15)="","",INDEX($A$51:$R$80,S65,15)))</f>
        <v/>
      </c>
      <c r="AJ65" s="297" t="str" cm="1">
        <f t="array" ref="AJ65">IF(X65="","",IF(INDEX($A$51:$R$80,S65,17)="","",INDEX($A$51:$R$80,S65,17)))</f>
        <v/>
      </c>
      <c r="AK65" s="363"/>
      <c r="AL65" s="363"/>
      <c r="AM65" s="363"/>
      <c r="AN65" s="363"/>
      <c r="AO65" s="363"/>
      <c r="AP65" s="363"/>
      <c r="AQ65" s="363"/>
    </row>
    <row r="66" spans="1:43" ht="18.600000000000001" hidden="1" customHeight="1">
      <c r="A66" s="497" t="s">
        <v>593</v>
      </c>
      <c r="B66" s="305"/>
      <c r="C66" s="405"/>
      <c r="D66" s="388"/>
      <c r="E66" s="389"/>
      <c r="F66" s="54" t="str">
        <f>IF($P66&gt;'3)招へい者4)受入れ体制'!$D$34,"",'1)受入れ機関概要'!$C$8)</f>
        <v/>
      </c>
      <c r="G66" s="54" t="str">
        <f>IF($P66&gt;'3)招へい者4)受入れ体制'!$D$34,"",'1)受入れ機関概要'!$F$8)</f>
        <v/>
      </c>
      <c r="H66" s="115" t="str">
        <f t="shared" ref="H66:H80" si="27">IF(G66="(出国日)","日程未設定",IF(G66="","",G66-F66+1))</f>
        <v/>
      </c>
      <c r="I66" s="305"/>
      <c r="J66" s="1091"/>
      <c r="K66" s="1091"/>
      <c r="L66" s="461"/>
      <c r="M66" s="1092" t="str">
        <f t="shared" ref="M66:M80" si="28">IF(OR(E66="",F66="(入国日)"),"",DATEDIF(E66,F66,"Y"))</f>
        <v/>
      </c>
      <c r="N66" s="1092"/>
      <c r="O66" s="52"/>
      <c r="P66" s="449">
        <v>16</v>
      </c>
      <c r="Q66" s="1093"/>
      <c r="R66" s="1093"/>
      <c r="S66" s="494" t="str">
        <f>IF(X66="","",16)</f>
        <v/>
      </c>
      <c r="T66" s="296" t="str">
        <f t="shared" si="18"/>
        <v/>
      </c>
      <c r="U66" s="95" t="str">
        <f t="shared" si="16"/>
        <v/>
      </c>
      <c r="V66" s="95" t="str">
        <f t="shared" si="25"/>
        <v/>
      </c>
      <c r="W66" s="95" t="str">
        <f t="shared" si="26"/>
        <v/>
      </c>
      <c r="X66" s="95" t="str">
        <f>IF(Y66="","",INDEX($A$51:$R$80,16,1))</f>
        <v/>
      </c>
      <c r="Y66" s="95" t="str">
        <f>IF(INDEX($A$51:$R$80,16,2)="","",UPPER(CLEAN(TRIM(ASC(INDEX($A$51:$R$80,16,2))))))</f>
        <v/>
      </c>
      <c r="Z66" s="95" t="str" cm="1">
        <f t="array" ref="Z66">IF(X66="","",IF(INDEX($A$51:$R$80,S66,3)="","",INDEX($A$51:$R$80,S66,3)))</f>
        <v/>
      </c>
      <c r="AA66" s="95" t="str" cm="1">
        <f t="array" ref="AA66">IFERROR(INDEX($A$51:$R$80,S66,4),"")</f>
        <v/>
      </c>
      <c r="AB66" s="97" t="str" cm="1">
        <f t="array" ref="AB66">IFERROR(INDEX($A$51:$R$80,S66,5),"")</f>
        <v/>
      </c>
      <c r="AC66" s="95" t="str" cm="1">
        <f t="array" ref="AC66">IFERROR(INDEX($A$51:$R$80,S66,9),"")</f>
        <v/>
      </c>
      <c r="AD66" s="97" t="str" cm="1">
        <f t="array" ref="AD66">IFERROR(INDEX($A$51:$R$80,S66,6),"")</f>
        <v/>
      </c>
      <c r="AE66" s="97" t="str" cm="1">
        <f t="array" ref="AE66">IFERROR(INDEX($A$51:$R$80,S66,7),"")</f>
        <v/>
      </c>
      <c r="AF66" s="95" t="str" cm="1">
        <f t="array" ref="AF66">IFERROR(INDEX($A$51:$R$80,S66,8),"")</f>
        <v/>
      </c>
      <c r="AG66" s="95" t="str" cm="1">
        <f t="array" ref="AG66">IFERROR(INDEX($A$51:$R$80,S66,10),"")</f>
        <v/>
      </c>
      <c r="AH66" s="95" t="str" cm="1">
        <f t="array" ref="AH66">IFERROR(INDEX($A$51:$R$80,S66,12),"")</f>
        <v/>
      </c>
      <c r="AI66" s="95" t="str" cm="1">
        <f t="array" ref="AI66">IF(X66="","",IF(INDEX($A$51:$R$80,S66,15)="","",INDEX($A$51:$R$80,S66,15)))</f>
        <v/>
      </c>
      <c r="AJ66" s="297" t="str" cm="1">
        <f t="array" ref="AJ66">IF(X66="","",IF(INDEX($A$51:$R$80,S66,17)="","",INDEX($A$51:$R$80,S66,17)))</f>
        <v/>
      </c>
    </row>
    <row r="67" spans="1:43" ht="18.600000000000001" hidden="1" customHeight="1">
      <c r="A67" s="498" t="s">
        <v>622</v>
      </c>
      <c r="B67" s="305"/>
      <c r="C67" s="405"/>
      <c r="D67" s="388"/>
      <c r="E67" s="389"/>
      <c r="F67" s="54" t="str">
        <f>IF($P67&gt;'3)招へい者4)受入れ体制'!$D$34,"",'1)受入れ機関概要'!$C$8)</f>
        <v/>
      </c>
      <c r="G67" s="54" t="str">
        <f>IF($P67&gt;'3)招へい者4)受入れ体制'!$D$34,"",'1)受入れ機関概要'!$F$8)</f>
        <v/>
      </c>
      <c r="H67" s="115" t="str">
        <f t="shared" si="27"/>
        <v/>
      </c>
      <c r="I67" s="305"/>
      <c r="J67" s="1091"/>
      <c r="K67" s="1091"/>
      <c r="L67" s="461"/>
      <c r="M67" s="1092" t="str">
        <f t="shared" si="28"/>
        <v/>
      </c>
      <c r="N67" s="1092"/>
      <c r="O67" s="52"/>
      <c r="P67" s="449">
        <v>17</v>
      </c>
      <c r="Q67" s="1093"/>
      <c r="R67" s="1093"/>
      <c r="S67" s="494" t="str">
        <f>IF(X67="","",17)</f>
        <v/>
      </c>
      <c r="T67" s="296" t="str">
        <f t="shared" si="18"/>
        <v/>
      </c>
      <c r="U67" s="95" t="str">
        <f t="shared" si="16"/>
        <v/>
      </c>
      <c r="V67" s="95" t="str">
        <f t="shared" si="25"/>
        <v/>
      </c>
      <c r="W67" s="95" t="str">
        <f t="shared" si="26"/>
        <v/>
      </c>
      <c r="X67" s="95" t="str">
        <f>IF(Y67="","",INDEX($A$51:$R$80,17,1))</f>
        <v/>
      </c>
      <c r="Y67" s="95" t="str">
        <f>IF(INDEX($A$51:$R$80,17,2)="","",UPPER(CLEAN(TRIM(ASC(INDEX($A$51:$R$80,17,2))))))</f>
        <v/>
      </c>
      <c r="Z67" s="95" t="str" cm="1">
        <f t="array" ref="Z67">IF(X67="","",IF(INDEX($A$51:$R$80,S67,3)="","",INDEX($A$51:$R$80,S67,3)))</f>
        <v/>
      </c>
      <c r="AA67" s="95" t="str" cm="1">
        <f t="array" ref="AA67">IFERROR(INDEX($A$51:$R$80,S67,4),"")</f>
        <v/>
      </c>
      <c r="AB67" s="97" t="str" cm="1">
        <f t="array" ref="AB67">IFERROR(INDEX($A$51:$R$80,S67,5),"")</f>
        <v/>
      </c>
      <c r="AC67" s="95" t="str" cm="1">
        <f t="array" ref="AC67">IFERROR(INDEX($A$51:$R$80,S67,9),"")</f>
        <v/>
      </c>
      <c r="AD67" s="97" t="str" cm="1">
        <f t="array" ref="AD67">IFERROR(INDEX($A$51:$R$80,S67,6),"")</f>
        <v/>
      </c>
      <c r="AE67" s="97" t="str" cm="1">
        <f t="array" ref="AE67">IFERROR(INDEX($A$51:$R$80,S67,7),"")</f>
        <v/>
      </c>
      <c r="AF67" s="95" t="str" cm="1">
        <f t="array" ref="AF67">IFERROR(INDEX($A$51:$R$80,S67,8),"")</f>
        <v/>
      </c>
      <c r="AG67" s="95" t="str" cm="1">
        <f t="array" ref="AG67">IFERROR(INDEX($A$51:$R$80,S67,10),"")</f>
        <v/>
      </c>
      <c r="AH67" s="95" t="str" cm="1">
        <f t="array" ref="AH67">IFERROR(INDEX($A$51:$R$80,S67,12),"")</f>
        <v/>
      </c>
      <c r="AI67" s="95" t="str" cm="1">
        <f t="array" ref="AI67">IF(X67="","",IF(INDEX($A$51:$R$80,S67,15)="","",INDEX($A$51:$R$80,S67,15)))</f>
        <v/>
      </c>
      <c r="AJ67" s="297" t="str" cm="1">
        <f t="array" ref="AJ67">IF(X67="","",IF(INDEX($A$51:$R$80,S67,17)="","",INDEX($A$51:$R$80,S67,17)))</f>
        <v/>
      </c>
    </row>
    <row r="68" spans="1:43" ht="18.600000000000001" hidden="1" customHeight="1">
      <c r="A68" s="497" t="s">
        <v>594</v>
      </c>
      <c r="B68" s="305"/>
      <c r="C68" s="405"/>
      <c r="D68" s="388"/>
      <c r="E68" s="389"/>
      <c r="F68" s="54" t="str">
        <f>IF($P68&gt;'3)招へい者4)受入れ体制'!$D$34,"",'1)受入れ機関概要'!$C$8)</f>
        <v/>
      </c>
      <c r="G68" s="54" t="str">
        <f>IF($P68&gt;'3)招へい者4)受入れ体制'!$D$34,"",'1)受入れ機関概要'!$F$8)</f>
        <v/>
      </c>
      <c r="H68" s="115" t="str">
        <f t="shared" si="27"/>
        <v/>
      </c>
      <c r="I68" s="305"/>
      <c r="J68" s="1091"/>
      <c r="K68" s="1091"/>
      <c r="L68" s="461"/>
      <c r="M68" s="1092" t="str">
        <f t="shared" si="28"/>
        <v/>
      </c>
      <c r="N68" s="1092"/>
      <c r="O68" s="52"/>
      <c r="P68" s="449">
        <v>18</v>
      </c>
      <c r="Q68" s="1093"/>
      <c r="R68" s="1093"/>
      <c r="S68" s="494" t="str">
        <f>IF(X68="","",18)</f>
        <v/>
      </c>
      <c r="T68" s="296" t="str">
        <f t="shared" si="18"/>
        <v/>
      </c>
      <c r="U68" s="95" t="str">
        <f t="shared" si="16"/>
        <v/>
      </c>
      <c r="V68" s="95" t="str">
        <f t="shared" si="25"/>
        <v/>
      </c>
      <c r="W68" s="95" t="str">
        <f t="shared" si="26"/>
        <v/>
      </c>
      <c r="X68" s="95" t="str">
        <f>IF(Y68="","",INDEX($A$51:$R$80,18,1))</f>
        <v/>
      </c>
      <c r="Y68" s="95" t="str">
        <f>IF(INDEX($A$51:$R$80,18,2)="","",UPPER(CLEAN(TRIM(ASC(INDEX($A$51:$R$80,18,2))))))</f>
        <v/>
      </c>
      <c r="Z68" s="95" t="str" cm="1">
        <f t="array" ref="Z68">IF(X68="","",IF(INDEX($A$51:$R$80,S68,3)="","",INDEX($A$51:$R$80,S68,3)))</f>
        <v/>
      </c>
      <c r="AA68" s="95" t="str" cm="1">
        <f t="array" ref="AA68">IFERROR(INDEX($A$51:$R$80,S68,4),"")</f>
        <v/>
      </c>
      <c r="AB68" s="97" t="str" cm="1">
        <f t="array" ref="AB68">IFERROR(INDEX($A$51:$R$80,S68,5),"")</f>
        <v/>
      </c>
      <c r="AC68" s="95" t="str" cm="1">
        <f t="array" ref="AC68">IFERROR(INDEX($A$51:$R$80,S68,9),"")</f>
        <v/>
      </c>
      <c r="AD68" s="97" t="str" cm="1">
        <f t="array" ref="AD68">IFERROR(INDEX($A$51:$R$80,S68,6),"")</f>
        <v/>
      </c>
      <c r="AE68" s="97" t="str" cm="1">
        <f t="array" ref="AE68">IFERROR(INDEX($A$51:$R$80,S68,7),"")</f>
        <v/>
      </c>
      <c r="AF68" s="95" t="str" cm="1">
        <f t="array" ref="AF68">IFERROR(INDEX($A$51:$R$80,S68,8),"")</f>
        <v/>
      </c>
      <c r="AG68" s="95" t="str" cm="1">
        <f t="array" ref="AG68">IFERROR(INDEX($A$51:$R$80,S68,10),"")</f>
        <v/>
      </c>
      <c r="AH68" s="95" t="str" cm="1">
        <f t="array" ref="AH68">IFERROR(INDEX($A$51:$R$80,S68,12),"")</f>
        <v/>
      </c>
      <c r="AI68" s="95" t="str" cm="1">
        <f t="array" ref="AI68">IF(X68="","",IF(INDEX($A$51:$R$80,S68,15)="","",INDEX($A$51:$R$80,S68,15)))</f>
        <v/>
      </c>
      <c r="AJ68" s="297" t="str" cm="1">
        <f t="array" ref="AJ68">IF(X68="","",IF(INDEX($A$51:$R$80,S68,17)="","",INDEX($A$51:$R$80,S68,17)))</f>
        <v/>
      </c>
    </row>
    <row r="69" spans="1:43" ht="18.600000000000001" hidden="1" customHeight="1">
      <c r="A69" s="498" t="s">
        <v>623</v>
      </c>
      <c r="B69" s="305"/>
      <c r="C69" s="405"/>
      <c r="D69" s="388"/>
      <c r="E69" s="389"/>
      <c r="F69" s="54" t="str">
        <f>IF($P69&gt;'3)招へい者4)受入れ体制'!$D$34,"",'1)受入れ機関概要'!$C$8)</f>
        <v/>
      </c>
      <c r="G69" s="54" t="str">
        <f>IF($P69&gt;'3)招へい者4)受入れ体制'!$D$34,"",'1)受入れ機関概要'!$F$8)</f>
        <v/>
      </c>
      <c r="H69" s="115" t="str">
        <f t="shared" si="27"/>
        <v/>
      </c>
      <c r="I69" s="305"/>
      <c r="J69" s="1091"/>
      <c r="K69" s="1091"/>
      <c r="L69" s="461"/>
      <c r="M69" s="1092" t="str">
        <f t="shared" si="28"/>
        <v/>
      </c>
      <c r="N69" s="1092"/>
      <c r="O69" s="52"/>
      <c r="P69" s="449">
        <v>19</v>
      </c>
      <c r="Q69" s="1093"/>
      <c r="R69" s="1093"/>
      <c r="S69" s="494" t="str">
        <f>IF(X69="","",19)</f>
        <v/>
      </c>
      <c r="T69" s="296" t="str">
        <f t="shared" si="18"/>
        <v/>
      </c>
      <c r="U69" s="95" t="str">
        <f t="shared" si="16"/>
        <v/>
      </c>
      <c r="V69" s="95" t="str">
        <f t="shared" si="25"/>
        <v/>
      </c>
      <c r="W69" s="95" t="str">
        <f t="shared" si="26"/>
        <v/>
      </c>
      <c r="X69" s="95" t="str">
        <f>IF(Y69="","",INDEX($A$51:$R$80,19,1))</f>
        <v/>
      </c>
      <c r="Y69" s="95" t="str">
        <f>IF(INDEX($A$51:$R$80,19,2)="","",UPPER(CLEAN(TRIM(ASC(INDEX($A$51:$R$80,19,2))))))</f>
        <v/>
      </c>
      <c r="Z69" s="95" t="str" cm="1">
        <f t="array" ref="Z69">IF(X69="","",IF(INDEX($A$51:$R$80,S69,3)="","",INDEX($A$51:$R$80,S69,3)))</f>
        <v/>
      </c>
      <c r="AA69" s="95" t="str" cm="1">
        <f t="array" ref="AA69">IFERROR(INDEX($A$51:$R$80,S69,4),"")</f>
        <v/>
      </c>
      <c r="AB69" s="97" t="str" cm="1">
        <f t="array" ref="AB69">IFERROR(INDEX($A$51:$R$80,S69,5),"")</f>
        <v/>
      </c>
      <c r="AC69" s="95" t="str" cm="1">
        <f t="array" ref="AC69">IFERROR(INDEX($A$51:$R$80,S69,9),"")</f>
        <v/>
      </c>
      <c r="AD69" s="97" t="str" cm="1">
        <f t="array" ref="AD69">IFERROR(INDEX($A$51:$R$80,S69,6),"")</f>
        <v/>
      </c>
      <c r="AE69" s="97" t="str" cm="1">
        <f t="array" ref="AE69">IFERROR(INDEX($A$51:$R$80,S69,7),"")</f>
        <v/>
      </c>
      <c r="AF69" s="95" t="str" cm="1">
        <f t="array" ref="AF69">IFERROR(INDEX($A$51:$R$80,S69,8),"")</f>
        <v/>
      </c>
      <c r="AG69" s="95" t="str" cm="1">
        <f t="array" ref="AG69">IFERROR(INDEX($A$51:$R$80,S69,10),"")</f>
        <v/>
      </c>
      <c r="AH69" s="95" t="str" cm="1">
        <f t="array" ref="AH69">IFERROR(INDEX($A$51:$R$80,S69,12),"")</f>
        <v/>
      </c>
      <c r="AI69" s="95" t="str" cm="1">
        <f t="array" ref="AI69">IF(X69="","",IF(INDEX($A$51:$R$80,S69,15)="","",INDEX($A$51:$R$80,S69,15)))</f>
        <v/>
      </c>
      <c r="AJ69" s="297" t="str" cm="1">
        <f t="array" ref="AJ69">IF(X69="","",IF(INDEX($A$51:$R$80,S69,17)="","",INDEX($A$51:$R$80,S69,17)))</f>
        <v/>
      </c>
    </row>
    <row r="70" spans="1:43" ht="18.600000000000001" hidden="1" customHeight="1">
      <c r="A70" s="497" t="s">
        <v>595</v>
      </c>
      <c r="B70" s="305"/>
      <c r="C70" s="405"/>
      <c r="D70" s="388"/>
      <c r="E70" s="389"/>
      <c r="F70" s="54" t="str">
        <f>IF($P70&gt;'3)招へい者4)受入れ体制'!$D$34,"",'1)受入れ機関概要'!$C$8)</f>
        <v/>
      </c>
      <c r="G70" s="54" t="str">
        <f>IF($P70&gt;'3)招へい者4)受入れ体制'!$D$34,"",'1)受入れ機関概要'!$F$8)</f>
        <v/>
      </c>
      <c r="H70" s="115" t="str">
        <f t="shared" si="27"/>
        <v/>
      </c>
      <c r="I70" s="305"/>
      <c r="J70" s="1091"/>
      <c r="K70" s="1091"/>
      <c r="L70" s="461"/>
      <c r="M70" s="1092" t="str">
        <f t="shared" si="28"/>
        <v/>
      </c>
      <c r="N70" s="1092"/>
      <c r="O70" s="52"/>
      <c r="P70" s="449">
        <v>20</v>
      </c>
      <c r="Q70" s="1093"/>
      <c r="R70" s="1093"/>
      <c r="S70" s="494" t="str">
        <f>IF(X70="","",20)</f>
        <v/>
      </c>
      <c r="T70" s="296" t="str">
        <f t="shared" si="18"/>
        <v/>
      </c>
      <c r="U70" s="95" t="str">
        <f t="shared" si="16"/>
        <v/>
      </c>
      <c r="V70" s="95" t="str">
        <f t="shared" si="25"/>
        <v/>
      </c>
      <c r="W70" s="95" t="str">
        <f t="shared" si="26"/>
        <v/>
      </c>
      <c r="X70" s="95" t="str">
        <f>IF(Y70="","",INDEX($A$51:$R$80,20,1))</f>
        <v/>
      </c>
      <c r="Y70" s="95" t="str">
        <f>IF(INDEX($A$51:$R$80,20,2)="","",UPPER(CLEAN(TRIM(ASC(INDEX($A$51:$R$80,20,2))))))</f>
        <v/>
      </c>
      <c r="Z70" s="95" t="str" cm="1">
        <f t="array" ref="Z70">IF(X70="","",IF(INDEX($A$51:$R$80,S70,3)="","",INDEX($A$51:$R$80,S70,3)))</f>
        <v/>
      </c>
      <c r="AA70" s="95" t="str" cm="1">
        <f t="array" ref="AA70">IFERROR(INDEX($A$51:$R$80,S70,4),"")</f>
        <v/>
      </c>
      <c r="AB70" s="97" t="str" cm="1">
        <f t="array" ref="AB70">IFERROR(INDEX($A$51:$R$80,S70,5),"")</f>
        <v/>
      </c>
      <c r="AC70" s="95" t="str" cm="1">
        <f t="array" ref="AC70">IFERROR(INDEX($A$51:$R$80,S70,9),"")</f>
        <v/>
      </c>
      <c r="AD70" s="97" t="str" cm="1">
        <f t="array" ref="AD70">IFERROR(INDEX($A$51:$R$80,S70,6),"")</f>
        <v/>
      </c>
      <c r="AE70" s="97" t="str" cm="1">
        <f t="array" ref="AE70">IFERROR(INDEX($A$51:$R$80,S70,7),"")</f>
        <v/>
      </c>
      <c r="AF70" s="95" t="str" cm="1">
        <f t="array" ref="AF70">IFERROR(INDEX($A$51:$R$80,S70,8),"")</f>
        <v/>
      </c>
      <c r="AG70" s="95" t="str" cm="1">
        <f t="array" ref="AG70">IFERROR(INDEX($A$51:$R$80,S70,10),"")</f>
        <v/>
      </c>
      <c r="AH70" s="95" t="str" cm="1">
        <f t="array" ref="AH70">IFERROR(INDEX($A$51:$R$80,S70,12),"")</f>
        <v/>
      </c>
      <c r="AI70" s="95" t="str" cm="1">
        <f t="array" ref="AI70">IF(X70="","",IF(INDEX($A$51:$R$80,S70,15)="","",INDEX($A$51:$R$80,S70,15)))</f>
        <v/>
      </c>
      <c r="AJ70" s="297" t="str" cm="1">
        <f t="array" ref="AJ70">IF(X70="","",IF(INDEX($A$51:$R$80,S70,17)="","",INDEX($A$51:$R$80,S70,17)))</f>
        <v/>
      </c>
    </row>
    <row r="71" spans="1:43" ht="18.600000000000001" hidden="1" customHeight="1">
      <c r="A71" s="498" t="s">
        <v>624</v>
      </c>
      <c r="B71" s="305"/>
      <c r="C71" s="405"/>
      <c r="D71" s="388"/>
      <c r="E71" s="389"/>
      <c r="F71" s="54" t="str">
        <f>IF($P71&gt;'3)招へい者4)受入れ体制'!$D$34,"",'1)受入れ機関概要'!$C$8)</f>
        <v/>
      </c>
      <c r="G71" s="54" t="str">
        <f>IF($P71&gt;'3)招へい者4)受入れ体制'!$D$34,"",'1)受入れ機関概要'!$F$8)</f>
        <v/>
      </c>
      <c r="H71" s="115" t="str">
        <f t="shared" si="27"/>
        <v/>
      </c>
      <c r="I71" s="305"/>
      <c r="J71" s="1091"/>
      <c r="K71" s="1091"/>
      <c r="L71" s="461"/>
      <c r="M71" s="1092" t="str">
        <f t="shared" si="28"/>
        <v/>
      </c>
      <c r="N71" s="1092"/>
      <c r="O71" s="52"/>
      <c r="P71" s="449">
        <v>21</v>
      </c>
      <c r="Q71" s="1093"/>
      <c r="R71" s="1093"/>
      <c r="S71" s="494" t="str">
        <f>IF(X71="","",21)</f>
        <v/>
      </c>
      <c r="T71" s="296" t="str">
        <f t="shared" si="18"/>
        <v/>
      </c>
      <c r="U71" s="95" t="str">
        <f t="shared" si="16"/>
        <v/>
      </c>
      <c r="V71" s="95" t="str">
        <f t="shared" si="25"/>
        <v/>
      </c>
      <c r="W71" s="95" t="str">
        <f t="shared" si="26"/>
        <v/>
      </c>
      <c r="X71" s="95" t="str">
        <f>IF(Y71="","",INDEX($A$51:$R$80,21,1))</f>
        <v/>
      </c>
      <c r="Y71" s="95" t="str">
        <f>IF(INDEX($A$51:$R$80,21,2)="","",UPPER(CLEAN(TRIM(ASC(INDEX($A$51:$R$80,21,2))))))</f>
        <v/>
      </c>
      <c r="Z71" s="95" t="str" cm="1">
        <f t="array" ref="Z71">IF(X71="","",IF(INDEX($A$51:$R$80,S71,3)="","",INDEX($A$51:$R$80,S71,3)))</f>
        <v/>
      </c>
      <c r="AA71" s="95" t="str" cm="1">
        <f t="array" ref="AA71">IFERROR(INDEX($A$51:$R$80,S71,4),"")</f>
        <v/>
      </c>
      <c r="AB71" s="97" t="str" cm="1">
        <f t="array" ref="AB71">IFERROR(INDEX($A$51:$R$80,S71,5),"")</f>
        <v/>
      </c>
      <c r="AC71" s="95" t="str" cm="1">
        <f t="array" ref="AC71">IFERROR(INDEX($A$51:$R$80,S71,9),"")</f>
        <v/>
      </c>
      <c r="AD71" s="97" t="str" cm="1">
        <f t="array" ref="AD71">IFERROR(INDEX($A$51:$R$80,S71,6),"")</f>
        <v/>
      </c>
      <c r="AE71" s="97" t="str" cm="1">
        <f t="array" ref="AE71">IFERROR(INDEX($A$51:$R$80,S71,7),"")</f>
        <v/>
      </c>
      <c r="AF71" s="95" t="str" cm="1">
        <f t="array" ref="AF71">IFERROR(INDEX($A$51:$R$80,S71,8),"")</f>
        <v/>
      </c>
      <c r="AG71" s="95" t="str" cm="1">
        <f t="array" ref="AG71">IFERROR(INDEX($A$51:$R$80,S71,10),"")</f>
        <v/>
      </c>
      <c r="AH71" s="95" t="str" cm="1">
        <f t="array" ref="AH71">IFERROR(INDEX($A$51:$R$80,S71,12),"")</f>
        <v/>
      </c>
      <c r="AI71" s="95" t="str" cm="1">
        <f t="array" ref="AI71">IF(X71="","",IF(INDEX($A$51:$R$80,S71,15)="","",INDEX($A$51:$R$80,S71,15)))</f>
        <v/>
      </c>
      <c r="AJ71" s="297" t="str" cm="1">
        <f t="array" ref="AJ71">IF(X71="","",IF(INDEX($A$51:$R$80,S71,17)="","",INDEX($A$51:$R$80,S71,17)))</f>
        <v/>
      </c>
    </row>
    <row r="72" spans="1:43" ht="18.600000000000001" hidden="1" customHeight="1">
      <c r="A72" s="497" t="s">
        <v>596</v>
      </c>
      <c r="B72" s="305"/>
      <c r="C72" s="405"/>
      <c r="D72" s="388"/>
      <c r="E72" s="389"/>
      <c r="F72" s="54" t="str">
        <f>IF($P72&gt;'3)招へい者4)受入れ体制'!$D$34,"",'1)受入れ機関概要'!$C$8)</f>
        <v/>
      </c>
      <c r="G72" s="54" t="str">
        <f>IF($P72&gt;'3)招へい者4)受入れ体制'!$D$34,"",'1)受入れ機関概要'!$F$8)</f>
        <v/>
      </c>
      <c r="H72" s="115" t="str">
        <f t="shared" si="27"/>
        <v/>
      </c>
      <c r="I72" s="305"/>
      <c r="J72" s="1091"/>
      <c r="K72" s="1091"/>
      <c r="L72" s="461"/>
      <c r="M72" s="1092" t="str">
        <f t="shared" si="28"/>
        <v/>
      </c>
      <c r="N72" s="1092"/>
      <c r="O72" s="52"/>
      <c r="P72" s="449">
        <v>22</v>
      </c>
      <c r="Q72" s="1093"/>
      <c r="R72" s="1093"/>
      <c r="S72" s="494" t="str">
        <f>IF(X72="","",22)</f>
        <v/>
      </c>
      <c r="T72" s="296" t="str">
        <f t="shared" si="18"/>
        <v/>
      </c>
      <c r="U72" s="95" t="str">
        <f t="shared" si="16"/>
        <v/>
      </c>
      <c r="V72" s="95" t="str">
        <f t="shared" si="25"/>
        <v/>
      </c>
      <c r="W72" s="95" t="str">
        <f t="shared" si="26"/>
        <v/>
      </c>
      <c r="X72" s="95" t="str">
        <f>IF(Y72="","",INDEX($A$51:$R$80,22,1))</f>
        <v/>
      </c>
      <c r="Y72" s="95" t="str">
        <f>IF(INDEX($A$51:$R$80,22,2)="","",UPPER(CLEAN(TRIM(ASC(INDEX($A$51:$R$80,22,2))))))</f>
        <v/>
      </c>
      <c r="Z72" s="95" t="str" cm="1">
        <f t="array" ref="Z72">IF(X72="","",IF(INDEX($A$51:$R$80,S72,3)="","",INDEX($A$51:$R$80,S72,3)))</f>
        <v/>
      </c>
      <c r="AA72" s="95" t="str" cm="1">
        <f t="array" ref="AA72">IFERROR(INDEX($A$51:$R$80,S72,4),"")</f>
        <v/>
      </c>
      <c r="AB72" s="97" t="str" cm="1">
        <f t="array" ref="AB72">IFERROR(INDEX($A$51:$R$80,S72,5),"")</f>
        <v/>
      </c>
      <c r="AC72" s="95" t="str" cm="1">
        <f t="array" ref="AC72">IFERROR(INDEX($A$51:$R$80,S72,9),"")</f>
        <v/>
      </c>
      <c r="AD72" s="97" t="str" cm="1">
        <f t="array" ref="AD72">IFERROR(INDEX($A$51:$R$80,S72,6),"")</f>
        <v/>
      </c>
      <c r="AE72" s="97" t="str" cm="1">
        <f t="array" ref="AE72">IFERROR(INDEX($A$51:$R$80,S72,7),"")</f>
        <v/>
      </c>
      <c r="AF72" s="95" t="str" cm="1">
        <f t="array" ref="AF72">IFERROR(INDEX($A$51:$R$80,S72,8),"")</f>
        <v/>
      </c>
      <c r="AG72" s="95" t="str" cm="1">
        <f t="array" ref="AG72">IFERROR(INDEX($A$51:$R$80,S72,10),"")</f>
        <v/>
      </c>
      <c r="AH72" s="95" t="str" cm="1">
        <f t="array" ref="AH72">IFERROR(INDEX($A$51:$R$80,S72,12),"")</f>
        <v/>
      </c>
      <c r="AI72" s="95" t="str" cm="1">
        <f t="array" ref="AI72">IF(X72="","",IF(INDEX($A$51:$R$80,S72,15)="","",INDEX($A$51:$R$80,S72,15)))</f>
        <v/>
      </c>
      <c r="AJ72" s="297" t="str" cm="1">
        <f t="array" ref="AJ72">IF(X72="","",IF(INDEX($A$51:$R$80,S72,17)="","",INDEX($A$51:$R$80,S72,17)))</f>
        <v/>
      </c>
    </row>
    <row r="73" spans="1:43" ht="18.600000000000001" hidden="1" customHeight="1">
      <c r="A73" s="498" t="s">
        <v>625</v>
      </c>
      <c r="B73" s="305"/>
      <c r="C73" s="405"/>
      <c r="D73" s="388"/>
      <c r="E73" s="389"/>
      <c r="F73" s="54" t="str">
        <f>IF($P73&gt;'3)招へい者4)受入れ体制'!$D$34,"",'1)受入れ機関概要'!$C$8)</f>
        <v/>
      </c>
      <c r="G73" s="54" t="str">
        <f>IF($P73&gt;'3)招へい者4)受入れ体制'!$D$34,"",'1)受入れ機関概要'!$F$8)</f>
        <v/>
      </c>
      <c r="H73" s="115" t="str">
        <f t="shared" si="27"/>
        <v/>
      </c>
      <c r="I73" s="305"/>
      <c r="J73" s="1091"/>
      <c r="K73" s="1091"/>
      <c r="L73" s="461"/>
      <c r="M73" s="1092" t="str">
        <f t="shared" si="28"/>
        <v/>
      </c>
      <c r="N73" s="1092"/>
      <c r="O73" s="52"/>
      <c r="P73" s="449">
        <v>23</v>
      </c>
      <c r="Q73" s="1093"/>
      <c r="R73" s="1093"/>
      <c r="S73" s="494" t="str">
        <f>IF(X73="","",23)</f>
        <v/>
      </c>
      <c r="T73" s="296" t="str">
        <f t="shared" si="18"/>
        <v/>
      </c>
      <c r="U73" s="95" t="str">
        <f t="shared" si="16"/>
        <v/>
      </c>
      <c r="V73" s="95" t="str">
        <f t="shared" si="25"/>
        <v/>
      </c>
      <c r="W73" s="95" t="str">
        <f t="shared" si="26"/>
        <v/>
      </c>
      <c r="X73" s="95" t="str">
        <f>IF(Y73="","",INDEX($A$51:$R$80,23,1))</f>
        <v/>
      </c>
      <c r="Y73" s="95" t="str">
        <f>IF(INDEX($A$51:$R$80,23,2)="","",UPPER(CLEAN(TRIM(ASC(INDEX($A$51:$R$80,23,2))))))</f>
        <v/>
      </c>
      <c r="Z73" s="95" t="str" cm="1">
        <f t="array" ref="Z73">IF(X73="","",IF(INDEX($A$51:$R$80,S73,3)="","",INDEX($A$51:$R$80,S73,3)))</f>
        <v/>
      </c>
      <c r="AA73" s="95" t="str" cm="1">
        <f t="array" ref="AA73">IFERROR(INDEX($A$51:$R$80,S73,4),"")</f>
        <v/>
      </c>
      <c r="AB73" s="97" t="str" cm="1">
        <f t="array" ref="AB73">IFERROR(INDEX($A$51:$R$80,S73,5),"")</f>
        <v/>
      </c>
      <c r="AC73" s="95" t="str" cm="1">
        <f t="array" ref="AC73">IFERROR(INDEX($A$51:$R$80,S73,9),"")</f>
        <v/>
      </c>
      <c r="AD73" s="97" t="str" cm="1">
        <f t="array" ref="AD73">IFERROR(INDEX($A$51:$R$80,S73,6),"")</f>
        <v/>
      </c>
      <c r="AE73" s="97" t="str" cm="1">
        <f t="array" ref="AE73">IFERROR(INDEX($A$51:$R$80,S73,7),"")</f>
        <v/>
      </c>
      <c r="AF73" s="95" t="str" cm="1">
        <f t="array" ref="AF73">IFERROR(INDEX($A$51:$R$80,S73,8),"")</f>
        <v/>
      </c>
      <c r="AG73" s="95" t="str" cm="1">
        <f t="array" ref="AG73">IFERROR(INDEX($A$51:$R$80,S73,10),"")</f>
        <v/>
      </c>
      <c r="AH73" s="95" t="str" cm="1">
        <f t="array" ref="AH73">IFERROR(INDEX($A$51:$R$80,S73,12),"")</f>
        <v/>
      </c>
      <c r="AI73" s="95" t="str" cm="1">
        <f t="array" ref="AI73">IF(X73="","",IF(INDEX($A$51:$R$80,S73,15)="","",INDEX($A$51:$R$80,S73,15)))</f>
        <v/>
      </c>
      <c r="AJ73" s="297" t="str" cm="1">
        <f t="array" ref="AJ73">IF(X73="","",IF(INDEX($A$51:$R$80,S73,17)="","",INDEX($A$51:$R$80,S73,17)))</f>
        <v/>
      </c>
    </row>
    <row r="74" spans="1:43" ht="18.600000000000001" hidden="1" customHeight="1">
      <c r="A74" s="497" t="s">
        <v>597</v>
      </c>
      <c r="B74" s="305"/>
      <c r="C74" s="405"/>
      <c r="D74" s="388"/>
      <c r="E74" s="389"/>
      <c r="F74" s="54" t="str">
        <f>IF($P74&gt;'3)招へい者4)受入れ体制'!$D$34,"",'1)受入れ機関概要'!$C$8)</f>
        <v/>
      </c>
      <c r="G74" s="54" t="str">
        <f>IF($P74&gt;'3)招へい者4)受入れ体制'!$D$34,"",'1)受入れ機関概要'!$F$8)</f>
        <v/>
      </c>
      <c r="H74" s="115" t="str">
        <f t="shared" si="27"/>
        <v/>
      </c>
      <c r="I74" s="305"/>
      <c r="J74" s="1091"/>
      <c r="K74" s="1091"/>
      <c r="L74" s="461"/>
      <c r="M74" s="1092" t="str">
        <f t="shared" si="28"/>
        <v/>
      </c>
      <c r="N74" s="1092"/>
      <c r="O74" s="52"/>
      <c r="P74" s="449">
        <v>24</v>
      </c>
      <c r="Q74" s="1093"/>
      <c r="R74" s="1093"/>
      <c r="S74" s="494" t="str">
        <f>IF(X74="","",24)</f>
        <v/>
      </c>
      <c r="T74" s="296" t="str">
        <f t="shared" si="18"/>
        <v/>
      </c>
      <c r="U74" s="95" t="str">
        <f t="shared" si="16"/>
        <v/>
      </c>
      <c r="V74" s="95" t="str">
        <f t="shared" si="25"/>
        <v/>
      </c>
      <c r="W74" s="95" t="str">
        <f t="shared" si="26"/>
        <v/>
      </c>
      <c r="X74" s="95" t="str">
        <f>IF(Y74="","",INDEX($A$51:$R$80,24,1))</f>
        <v/>
      </c>
      <c r="Y74" s="95" t="str">
        <f>IF(INDEX($A$51:$R$80,24,2)="","",UPPER(CLEAN(TRIM(ASC(INDEX($A$51:$R$80,24,2))))))</f>
        <v/>
      </c>
      <c r="Z74" s="95" t="str" cm="1">
        <f t="array" ref="Z74">IF(X74="","",IF(INDEX($A$51:$R$80,S74,3)="","",INDEX($A$51:$R$80,S74,3)))</f>
        <v/>
      </c>
      <c r="AA74" s="95" t="str" cm="1">
        <f t="array" ref="AA74">IFERROR(INDEX($A$51:$R$80,S74,4),"")</f>
        <v/>
      </c>
      <c r="AB74" s="97" t="str" cm="1">
        <f t="array" ref="AB74">IFERROR(INDEX($A$51:$R$80,S74,5),"")</f>
        <v/>
      </c>
      <c r="AC74" s="95" t="str" cm="1">
        <f t="array" ref="AC74">IFERROR(INDEX($A$51:$R$80,S74,9),"")</f>
        <v/>
      </c>
      <c r="AD74" s="97" t="str" cm="1">
        <f t="array" ref="AD74">IFERROR(INDEX($A$51:$R$80,S74,6),"")</f>
        <v/>
      </c>
      <c r="AE74" s="97" t="str" cm="1">
        <f t="array" ref="AE74">IFERROR(INDEX($A$51:$R$80,S74,7),"")</f>
        <v/>
      </c>
      <c r="AF74" s="95" t="str" cm="1">
        <f t="array" ref="AF74">IFERROR(INDEX($A$51:$R$80,S74,8),"")</f>
        <v/>
      </c>
      <c r="AG74" s="95" t="str" cm="1">
        <f t="array" ref="AG74">IFERROR(INDEX($A$51:$R$80,S74,10),"")</f>
        <v/>
      </c>
      <c r="AH74" s="95" t="str" cm="1">
        <f t="array" ref="AH74">IFERROR(INDEX($A$51:$R$80,S74,12),"")</f>
        <v/>
      </c>
      <c r="AI74" s="95" t="str" cm="1">
        <f t="array" ref="AI74">IF(X74="","",IF(INDEX($A$51:$R$80,S74,15)="","",INDEX($A$51:$R$80,S74,15)))</f>
        <v/>
      </c>
      <c r="AJ74" s="297" t="str" cm="1">
        <f t="array" ref="AJ74">IF(X74="","",IF(INDEX($A$51:$R$80,S74,17)="","",INDEX($A$51:$R$80,S74,17)))</f>
        <v/>
      </c>
    </row>
    <row r="75" spans="1:43" ht="18.600000000000001" hidden="1" customHeight="1">
      <c r="A75" s="498" t="s">
        <v>626</v>
      </c>
      <c r="B75" s="305"/>
      <c r="C75" s="405"/>
      <c r="D75" s="388"/>
      <c r="E75" s="389"/>
      <c r="F75" s="54" t="str">
        <f>IF($P75&gt;'3)招へい者4)受入れ体制'!$D$34,"",'1)受入れ機関概要'!$C$8)</f>
        <v/>
      </c>
      <c r="G75" s="54" t="str">
        <f>IF($P75&gt;'3)招へい者4)受入れ体制'!$D$34,"",'1)受入れ機関概要'!$F$8)</f>
        <v/>
      </c>
      <c r="H75" s="115" t="str">
        <f t="shared" si="27"/>
        <v/>
      </c>
      <c r="I75" s="305"/>
      <c r="J75" s="1091"/>
      <c r="K75" s="1091"/>
      <c r="L75" s="461"/>
      <c r="M75" s="1092" t="str">
        <f t="shared" si="28"/>
        <v/>
      </c>
      <c r="N75" s="1092"/>
      <c r="O75" s="52"/>
      <c r="P75" s="449">
        <v>25</v>
      </c>
      <c r="Q75" s="1093"/>
      <c r="R75" s="1093"/>
      <c r="S75" s="494" t="str">
        <f>IF(X75="","",25)</f>
        <v/>
      </c>
      <c r="T75" s="296" t="str">
        <f t="shared" si="18"/>
        <v/>
      </c>
      <c r="U75" s="95" t="str">
        <f t="shared" si="16"/>
        <v/>
      </c>
      <c r="V75" s="95" t="str">
        <f t="shared" si="25"/>
        <v/>
      </c>
      <c r="W75" s="95" t="str">
        <f t="shared" si="26"/>
        <v/>
      </c>
      <c r="X75" s="95" t="str">
        <f>IF(Y75="","",INDEX($A$51:$R$80,25,1))</f>
        <v/>
      </c>
      <c r="Y75" s="95" t="str">
        <f>IF(INDEX($A$51:$R$80,25,2)="","",UPPER(CLEAN(TRIM(ASC(INDEX($A$51:$R$80,25,2))))))</f>
        <v/>
      </c>
      <c r="Z75" s="95" t="str" cm="1">
        <f t="array" ref="Z75">IF(X75="","",IF(INDEX($A$51:$R$80,S75,3)="","",INDEX($A$51:$R$80,S75,3)))</f>
        <v/>
      </c>
      <c r="AA75" s="95" t="str" cm="1">
        <f t="array" ref="AA75">IFERROR(INDEX($A$51:$R$80,S75,4),"")</f>
        <v/>
      </c>
      <c r="AB75" s="97" t="str" cm="1">
        <f t="array" ref="AB75">IFERROR(INDEX($A$51:$R$80,S75,5),"")</f>
        <v/>
      </c>
      <c r="AC75" s="95" t="str" cm="1">
        <f t="array" ref="AC75">IFERROR(INDEX($A$51:$R$80,S75,9),"")</f>
        <v/>
      </c>
      <c r="AD75" s="97" t="str" cm="1">
        <f t="array" ref="AD75">IFERROR(INDEX($A$51:$R$80,S75,6),"")</f>
        <v/>
      </c>
      <c r="AE75" s="97" t="str" cm="1">
        <f t="array" ref="AE75">IFERROR(INDEX($A$51:$R$80,S75,7),"")</f>
        <v/>
      </c>
      <c r="AF75" s="95" t="str" cm="1">
        <f t="array" ref="AF75">IFERROR(INDEX($A$51:$R$80,S75,8),"")</f>
        <v/>
      </c>
      <c r="AG75" s="95" t="str" cm="1">
        <f t="array" ref="AG75">IFERROR(INDEX($A$51:$R$80,S75,10),"")</f>
        <v/>
      </c>
      <c r="AH75" s="95" t="str" cm="1">
        <f t="array" ref="AH75">IFERROR(INDEX($A$51:$R$80,S75,12),"")</f>
        <v/>
      </c>
      <c r="AI75" s="95" t="str" cm="1">
        <f t="array" ref="AI75">IF(X75="","",IF(INDEX($A$51:$R$80,S75,15)="","",INDEX($A$51:$R$80,S75,15)))</f>
        <v/>
      </c>
      <c r="AJ75" s="297" t="str" cm="1">
        <f t="array" ref="AJ75">IF(X75="","",IF(INDEX($A$51:$R$80,S75,17)="","",INDEX($A$51:$R$80,S75,17)))</f>
        <v/>
      </c>
    </row>
    <row r="76" spans="1:43" ht="18.600000000000001" hidden="1" customHeight="1">
      <c r="A76" s="497" t="s">
        <v>598</v>
      </c>
      <c r="B76" s="305"/>
      <c r="C76" s="405"/>
      <c r="D76" s="388"/>
      <c r="E76" s="389"/>
      <c r="F76" s="54" t="str">
        <f>IF($P76&gt;'3)招へい者4)受入れ体制'!$D$34,"",'1)受入れ機関概要'!$C$8)</f>
        <v/>
      </c>
      <c r="G76" s="54" t="str">
        <f>IF($P76&gt;'3)招へい者4)受入れ体制'!$D$34,"",'1)受入れ機関概要'!$F$8)</f>
        <v/>
      </c>
      <c r="H76" s="115" t="str">
        <f t="shared" si="27"/>
        <v/>
      </c>
      <c r="I76" s="305"/>
      <c r="J76" s="1091"/>
      <c r="K76" s="1091"/>
      <c r="L76" s="461"/>
      <c r="M76" s="1092" t="str">
        <f t="shared" si="28"/>
        <v/>
      </c>
      <c r="N76" s="1092"/>
      <c r="O76" s="52"/>
      <c r="P76" s="449">
        <v>26</v>
      </c>
      <c r="Q76" s="1093"/>
      <c r="R76" s="1093"/>
      <c r="S76" s="494" t="str">
        <f>IF(X76="","",26)</f>
        <v/>
      </c>
      <c r="T76" s="296" t="str">
        <f t="shared" si="18"/>
        <v/>
      </c>
      <c r="U76" s="95" t="str">
        <f t="shared" si="16"/>
        <v/>
      </c>
      <c r="V76" s="95" t="str">
        <f t="shared" si="25"/>
        <v/>
      </c>
      <c r="W76" s="95" t="str">
        <f t="shared" si="26"/>
        <v/>
      </c>
      <c r="X76" s="95" t="str">
        <f>IF(Y76="","",INDEX($A$51:$R$80,26,1))</f>
        <v/>
      </c>
      <c r="Y76" s="95" t="str">
        <f>IF(INDEX($A$51:$R$80,26,2)="","",UPPER(CLEAN(TRIM(ASC(INDEX($A$51:$R$80,26,2))))))</f>
        <v/>
      </c>
      <c r="Z76" s="95" t="str" cm="1">
        <f t="array" ref="Z76">IF(X76="","",IF(INDEX($A$51:$R$80,S76,3)="","",INDEX($A$51:$R$80,S76,3)))</f>
        <v/>
      </c>
      <c r="AA76" s="95" t="str" cm="1">
        <f t="array" ref="AA76">IFERROR(INDEX($A$51:$R$80,S76,4),"")</f>
        <v/>
      </c>
      <c r="AB76" s="97" t="str" cm="1">
        <f t="array" ref="AB76">IFERROR(INDEX($A$51:$R$80,S76,5),"")</f>
        <v/>
      </c>
      <c r="AC76" s="95" t="str" cm="1">
        <f t="array" ref="AC76">IFERROR(INDEX($A$51:$R$80,S76,9),"")</f>
        <v/>
      </c>
      <c r="AD76" s="97" t="str" cm="1">
        <f t="array" ref="AD76">IFERROR(INDEX($A$51:$R$80,S76,6),"")</f>
        <v/>
      </c>
      <c r="AE76" s="97" t="str" cm="1">
        <f t="array" ref="AE76">IFERROR(INDEX($A$51:$R$80,S76,7),"")</f>
        <v/>
      </c>
      <c r="AF76" s="95" t="str" cm="1">
        <f t="array" ref="AF76">IFERROR(INDEX($A$51:$R$80,S76,8),"")</f>
        <v/>
      </c>
      <c r="AG76" s="95" t="str" cm="1">
        <f t="array" ref="AG76">IFERROR(INDEX($A$51:$R$80,S76,10),"")</f>
        <v/>
      </c>
      <c r="AH76" s="95" t="str" cm="1">
        <f t="array" ref="AH76">IFERROR(INDEX($A$51:$R$80,S76,12),"")</f>
        <v/>
      </c>
      <c r="AI76" s="95" t="str" cm="1">
        <f t="array" ref="AI76">IF(X76="","",IF(INDEX($A$51:$R$80,S76,15)="","",INDEX($A$51:$R$80,S76,15)))</f>
        <v/>
      </c>
      <c r="AJ76" s="297" t="str" cm="1">
        <f t="array" ref="AJ76">IF(X76="","",IF(INDEX($A$51:$R$80,S76,17)="","",INDEX($A$51:$R$80,S76,17)))</f>
        <v/>
      </c>
    </row>
    <row r="77" spans="1:43" ht="18.600000000000001" hidden="1" customHeight="1">
      <c r="A77" s="498" t="s">
        <v>627</v>
      </c>
      <c r="B77" s="305"/>
      <c r="C77" s="405"/>
      <c r="D77" s="388"/>
      <c r="E77" s="389"/>
      <c r="F77" s="54" t="str">
        <f>IF($P77&gt;'3)招へい者4)受入れ体制'!$D$34,"",'1)受入れ機関概要'!$C$8)</f>
        <v/>
      </c>
      <c r="G77" s="54" t="str">
        <f>IF($P77&gt;'3)招へい者4)受入れ体制'!$D$34,"",'1)受入れ機関概要'!$F$8)</f>
        <v/>
      </c>
      <c r="H77" s="115" t="str">
        <f t="shared" si="27"/>
        <v/>
      </c>
      <c r="I77" s="305"/>
      <c r="J77" s="1091"/>
      <c r="K77" s="1091"/>
      <c r="L77" s="461"/>
      <c r="M77" s="1092" t="str">
        <f t="shared" si="28"/>
        <v/>
      </c>
      <c r="N77" s="1092"/>
      <c r="O77" s="52"/>
      <c r="P77" s="449">
        <v>27</v>
      </c>
      <c r="Q77" s="1093"/>
      <c r="R77" s="1093"/>
      <c r="S77" s="494" t="str">
        <f>IF(X77="","",27)</f>
        <v/>
      </c>
      <c r="T77" s="296" t="str">
        <f t="shared" si="18"/>
        <v/>
      </c>
      <c r="U77" s="95" t="str">
        <f t="shared" si="16"/>
        <v/>
      </c>
      <c r="V77" s="95" t="str">
        <f t="shared" si="25"/>
        <v/>
      </c>
      <c r="W77" s="95" t="str">
        <f t="shared" si="26"/>
        <v/>
      </c>
      <c r="X77" s="95" t="str">
        <f>IF(Y77="","",INDEX($A$51:$R$80,27,1))</f>
        <v/>
      </c>
      <c r="Y77" s="95" t="str">
        <f>IF(INDEX($A$51:$R$80,27,2)="","",UPPER(CLEAN(TRIM(ASC(INDEX($A$51:$R$80,27,2))))))</f>
        <v/>
      </c>
      <c r="Z77" s="95" t="str" cm="1">
        <f t="array" ref="Z77">IF(X77="","",IF(INDEX($A$51:$R$80,S77,3)="","",INDEX($A$51:$R$80,S77,3)))</f>
        <v/>
      </c>
      <c r="AA77" s="95" t="str" cm="1">
        <f t="array" ref="AA77">IFERROR(INDEX($A$51:$R$80,S77,4),"")</f>
        <v/>
      </c>
      <c r="AB77" s="97" t="str" cm="1">
        <f t="array" ref="AB77">IFERROR(INDEX($A$51:$R$80,S77,5),"")</f>
        <v/>
      </c>
      <c r="AC77" s="95" t="str" cm="1">
        <f t="array" ref="AC77">IFERROR(INDEX($A$51:$R$80,S77,9),"")</f>
        <v/>
      </c>
      <c r="AD77" s="97" t="str" cm="1">
        <f t="array" ref="AD77">IFERROR(INDEX($A$51:$R$80,S77,6),"")</f>
        <v/>
      </c>
      <c r="AE77" s="97" t="str" cm="1">
        <f t="array" ref="AE77">IFERROR(INDEX($A$51:$R$80,S77,7),"")</f>
        <v/>
      </c>
      <c r="AF77" s="95" t="str" cm="1">
        <f t="array" ref="AF77">IFERROR(INDEX($A$51:$R$80,S77,8),"")</f>
        <v/>
      </c>
      <c r="AG77" s="95" t="str" cm="1">
        <f t="array" ref="AG77">IFERROR(INDEX($A$51:$R$80,S77,10),"")</f>
        <v/>
      </c>
      <c r="AH77" s="95" t="str" cm="1">
        <f t="array" ref="AH77">IFERROR(INDEX($A$51:$R$80,S77,12),"")</f>
        <v/>
      </c>
      <c r="AI77" s="95" t="str" cm="1">
        <f t="array" ref="AI77">IF(X77="","",IF(INDEX($A$51:$R$80,S77,15)="","",INDEX($A$51:$R$80,S77,15)))</f>
        <v/>
      </c>
      <c r="AJ77" s="297" t="str" cm="1">
        <f t="array" ref="AJ77">IF(X77="","",IF(INDEX($A$51:$R$80,S77,17)="","",INDEX($A$51:$R$80,S77,17)))</f>
        <v/>
      </c>
    </row>
    <row r="78" spans="1:43" ht="18.600000000000001" hidden="1" customHeight="1">
      <c r="A78" s="497" t="s">
        <v>599</v>
      </c>
      <c r="B78" s="305"/>
      <c r="C78" s="405"/>
      <c r="D78" s="388"/>
      <c r="E78" s="389"/>
      <c r="F78" s="54" t="str">
        <f>IF($P78&gt;'3)招へい者4)受入れ体制'!$D$34,"",'1)受入れ機関概要'!$C$8)</f>
        <v/>
      </c>
      <c r="G78" s="54" t="str">
        <f>IF($P78&gt;'3)招へい者4)受入れ体制'!$D$34,"",'1)受入れ機関概要'!$F$8)</f>
        <v/>
      </c>
      <c r="H78" s="115" t="str">
        <f t="shared" si="27"/>
        <v/>
      </c>
      <c r="I78" s="305"/>
      <c r="J78" s="1091"/>
      <c r="K78" s="1091"/>
      <c r="L78" s="461"/>
      <c r="M78" s="1092" t="str">
        <f t="shared" si="28"/>
        <v/>
      </c>
      <c r="N78" s="1092"/>
      <c r="O78" s="52"/>
      <c r="P78" s="449">
        <v>28</v>
      </c>
      <c r="Q78" s="1093"/>
      <c r="R78" s="1093"/>
      <c r="S78" s="494" t="str">
        <f>IF(X78="","",28)</f>
        <v/>
      </c>
      <c r="T78" s="296" t="str">
        <f t="shared" si="18"/>
        <v/>
      </c>
      <c r="U78" s="95" t="str">
        <f t="shared" si="16"/>
        <v/>
      </c>
      <c r="V78" s="95" t="str">
        <f t="shared" si="25"/>
        <v/>
      </c>
      <c r="W78" s="95" t="str">
        <f t="shared" si="26"/>
        <v/>
      </c>
      <c r="X78" s="95" t="str">
        <f>IF(Y78="","",INDEX($A$51:$R$80,28,1))</f>
        <v/>
      </c>
      <c r="Y78" s="95" t="str">
        <f>IF(INDEX($A$51:$R$80,28,2)="","",UPPER(CLEAN(TRIM(ASC(INDEX($A$51:$R$80,28,2))))))</f>
        <v/>
      </c>
      <c r="Z78" s="95" t="str" cm="1">
        <f t="array" ref="Z78">IF(X78="","",IF(INDEX($A$51:$R$80,S78,3)="","",INDEX($A$51:$R$80,S78,3)))</f>
        <v/>
      </c>
      <c r="AA78" s="95" t="str" cm="1">
        <f t="array" ref="AA78">IFERROR(INDEX($A$51:$R$80,S78,4),"")</f>
        <v/>
      </c>
      <c r="AB78" s="97" t="str" cm="1">
        <f t="array" ref="AB78">IFERROR(INDEX($A$51:$R$80,S78,5),"")</f>
        <v/>
      </c>
      <c r="AC78" s="95" t="str" cm="1">
        <f t="array" ref="AC78">IFERROR(INDEX($A$51:$R$80,S78,9),"")</f>
        <v/>
      </c>
      <c r="AD78" s="97" t="str" cm="1">
        <f t="array" ref="AD78">IFERROR(INDEX($A$51:$R$80,S78,6),"")</f>
        <v/>
      </c>
      <c r="AE78" s="97" t="str" cm="1">
        <f t="array" ref="AE78">IFERROR(INDEX($A$51:$R$80,S78,7),"")</f>
        <v/>
      </c>
      <c r="AF78" s="95" t="str" cm="1">
        <f t="array" ref="AF78">IFERROR(INDEX($A$51:$R$80,S78,8),"")</f>
        <v/>
      </c>
      <c r="AG78" s="95" t="str" cm="1">
        <f t="array" ref="AG78">IFERROR(INDEX($A$51:$R$80,S78,10),"")</f>
        <v/>
      </c>
      <c r="AH78" s="95" t="str" cm="1">
        <f t="array" ref="AH78">IFERROR(INDEX($A$51:$R$80,S78,12),"")</f>
        <v/>
      </c>
      <c r="AI78" s="95" t="str" cm="1">
        <f t="array" ref="AI78">IF(X78="","",IF(INDEX($A$51:$R$80,S78,15)="","",INDEX($A$51:$R$80,S78,15)))</f>
        <v/>
      </c>
      <c r="AJ78" s="297" t="str" cm="1">
        <f t="array" ref="AJ78">IF(X78="","",IF(INDEX($A$51:$R$80,S78,17)="","",INDEX($A$51:$R$80,S78,17)))</f>
        <v/>
      </c>
    </row>
    <row r="79" spans="1:43" ht="18.600000000000001" hidden="1" customHeight="1">
      <c r="A79" s="498" t="s">
        <v>628</v>
      </c>
      <c r="B79" s="305"/>
      <c r="C79" s="405"/>
      <c r="D79" s="388"/>
      <c r="E79" s="389"/>
      <c r="F79" s="54" t="str">
        <f>IF($P79&gt;'3)招へい者4)受入れ体制'!$D$34,"",'1)受入れ機関概要'!$C$8)</f>
        <v/>
      </c>
      <c r="G79" s="54" t="str">
        <f>IF($P79&gt;'3)招へい者4)受入れ体制'!$D$34,"",'1)受入れ機関概要'!$F$8)</f>
        <v/>
      </c>
      <c r="H79" s="115" t="str">
        <f t="shared" si="27"/>
        <v/>
      </c>
      <c r="I79" s="305"/>
      <c r="J79" s="1091"/>
      <c r="K79" s="1091"/>
      <c r="L79" s="461"/>
      <c r="M79" s="1092" t="str">
        <f t="shared" si="28"/>
        <v/>
      </c>
      <c r="N79" s="1092"/>
      <c r="O79" s="52"/>
      <c r="P79" s="449">
        <v>29</v>
      </c>
      <c r="Q79" s="1093"/>
      <c r="R79" s="1093"/>
      <c r="S79" s="494" t="str">
        <f>IF(X79="","",29)</f>
        <v/>
      </c>
      <c r="T79" s="296" t="str">
        <f t="shared" si="18"/>
        <v/>
      </c>
      <c r="U79" s="95" t="str">
        <f t="shared" si="16"/>
        <v/>
      </c>
      <c r="V79" s="95" t="str">
        <f t="shared" si="25"/>
        <v/>
      </c>
      <c r="W79" s="95" t="str">
        <f t="shared" si="26"/>
        <v/>
      </c>
      <c r="X79" s="95" t="str">
        <f>IF(Y79="","",INDEX($A$51:$R$80,29,1))</f>
        <v/>
      </c>
      <c r="Y79" s="95" t="str">
        <f>IF(INDEX($A$51:$R$80,29,2)="","",UPPER(CLEAN(TRIM(ASC(INDEX($A$51:$R$80,29,2))))))</f>
        <v/>
      </c>
      <c r="Z79" s="95" t="str" cm="1">
        <f t="array" ref="Z79">IF(X79="","",IF(INDEX($A$51:$R$80,S79,3)="","",INDEX($A$51:$R$80,S79,3)))</f>
        <v/>
      </c>
      <c r="AA79" s="95" t="str" cm="1">
        <f t="array" ref="AA79">IFERROR(INDEX($A$51:$R$80,S79,4),"")</f>
        <v/>
      </c>
      <c r="AB79" s="97" t="str" cm="1">
        <f t="array" ref="AB79">IFERROR(INDEX($A$51:$R$80,S79,5),"")</f>
        <v/>
      </c>
      <c r="AC79" s="95" t="str" cm="1">
        <f t="array" ref="AC79">IFERROR(INDEX($A$51:$R$80,S79,9),"")</f>
        <v/>
      </c>
      <c r="AD79" s="97" t="str" cm="1">
        <f t="array" ref="AD79">IFERROR(INDEX($A$51:$R$80,S79,6),"")</f>
        <v/>
      </c>
      <c r="AE79" s="97" t="str" cm="1">
        <f t="array" ref="AE79">IFERROR(INDEX($A$51:$R$80,S79,7),"")</f>
        <v/>
      </c>
      <c r="AF79" s="95" t="str" cm="1">
        <f t="array" ref="AF79">IFERROR(INDEX($A$51:$R$80,S79,8),"")</f>
        <v/>
      </c>
      <c r="AG79" s="95" t="str" cm="1">
        <f t="array" ref="AG79">IFERROR(INDEX($A$51:$R$80,S79,10),"")</f>
        <v/>
      </c>
      <c r="AH79" s="95" t="str" cm="1">
        <f t="array" ref="AH79">IFERROR(INDEX($A$51:$R$80,S79,12),"")</f>
        <v/>
      </c>
      <c r="AI79" s="95" t="str" cm="1">
        <f t="array" ref="AI79">IF(X79="","",IF(INDEX($A$51:$R$80,S79,15)="","",INDEX($A$51:$R$80,S79,15)))</f>
        <v/>
      </c>
      <c r="AJ79" s="297" t="str" cm="1">
        <f t="array" ref="AJ79">IF(X79="","",IF(INDEX($A$51:$R$80,S79,17)="","",INDEX($A$51:$R$80,S79,17)))</f>
        <v/>
      </c>
    </row>
    <row r="80" spans="1:43" ht="18.600000000000001" hidden="1" customHeight="1">
      <c r="A80" s="497" t="s">
        <v>600</v>
      </c>
      <c r="B80" s="305"/>
      <c r="C80" s="405"/>
      <c r="D80" s="388"/>
      <c r="E80" s="389"/>
      <c r="F80" s="54" t="str">
        <f>IF($P80&gt;'3)招へい者4)受入れ体制'!$D$34,"",'1)受入れ機関概要'!$C$8)</f>
        <v/>
      </c>
      <c r="G80" s="54" t="str">
        <f>IF($P80&gt;'3)招へい者4)受入れ体制'!$D$34,"",'1)受入れ機関概要'!$F$8)</f>
        <v/>
      </c>
      <c r="H80" s="115" t="str">
        <f t="shared" si="27"/>
        <v/>
      </c>
      <c r="I80" s="305"/>
      <c r="J80" s="1091"/>
      <c r="K80" s="1091"/>
      <c r="L80" s="461"/>
      <c r="M80" s="1092" t="str">
        <f t="shared" si="28"/>
        <v/>
      </c>
      <c r="N80" s="1092"/>
      <c r="O80" s="52"/>
      <c r="P80" s="449">
        <v>30</v>
      </c>
      <c r="Q80" s="1093"/>
      <c r="R80" s="1093"/>
      <c r="S80" s="494" t="str">
        <f>IF(X80="","",30)</f>
        <v/>
      </c>
      <c r="T80" s="296" t="str">
        <f t="shared" si="18"/>
        <v/>
      </c>
      <c r="U80" s="95" t="str">
        <f t="shared" si="16"/>
        <v/>
      </c>
      <c r="V80" s="95" t="str">
        <f t="shared" si="25"/>
        <v/>
      </c>
      <c r="W80" s="95" t="str">
        <f t="shared" si="26"/>
        <v/>
      </c>
      <c r="X80" s="95" t="str">
        <f>IF(Y80="","",INDEX($A$51:$R$80,30,1))</f>
        <v/>
      </c>
      <c r="Y80" s="95" t="str">
        <f>IF(INDEX($A$51:$R$80,30,2)="","",UPPER(CLEAN(TRIM(ASC(INDEX($A$51:$R$80,30,2))))))</f>
        <v/>
      </c>
      <c r="Z80" s="95" t="str" cm="1">
        <f t="array" ref="Z80">IF(X80="","",IF(INDEX($A$51:$R$80,S80,3)="","",INDEX($A$51:$R$80,S80,3)))</f>
        <v/>
      </c>
      <c r="AA80" s="95" t="str" cm="1">
        <f t="array" ref="AA80">IFERROR(INDEX($A$51:$R$80,S80,4),"")</f>
        <v/>
      </c>
      <c r="AB80" s="97" t="str" cm="1">
        <f t="array" ref="AB80">IFERROR(INDEX($A$51:$R$80,S80,5),"")</f>
        <v/>
      </c>
      <c r="AC80" s="95" t="str" cm="1">
        <f t="array" ref="AC80">IFERROR(INDEX($A$51:$R$80,S80,9),"")</f>
        <v/>
      </c>
      <c r="AD80" s="97" t="str" cm="1">
        <f t="array" ref="AD80">IFERROR(INDEX($A$51:$R$80,S80,6),"")</f>
        <v/>
      </c>
      <c r="AE80" s="97" t="str" cm="1">
        <f t="array" ref="AE80">IFERROR(INDEX($A$51:$R$80,S80,7),"")</f>
        <v/>
      </c>
      <c r="AF80" s="95" t="str" cm="1">
        <f t="array" ref="AF80">IFERROR(INDEX($A$51:$R$80,S80,8),"")</f>
        <v/>
      </c>
      <c r="AG80" s="95" t="str" cm="1">
        <f t="array" ref="AG80">IFERROR(INDEX($A$51:$R$80,S80,10),"")</f>
        <v/>
      </c>
      <c r="AH80" s="95" t="str" cm="1">
        <f t="array" ref="AH80">IFERROR(INDEX($A$51:$R$80,S80,12),"")</f>
        <v/>
      </c>
      <c r="AI80" s="95" t="str" cm="1">
        <f t="array" ref="AI80">IF(X80="","",IF(INDEX($A$51:$R$80,S80,15)="","",INDEX($A$51:$R$80,S80,15)))</f>
        <v/>
      </c>
      <c r="AJ80" s="297" t="str" cm="1">
        <f t="array" ref="AJ80">IF(X80="","",IF(INDEX($A$51:$R$80,S80,17)="","",INDEX($A$51:$R$80,S80,17)))</f>
        <v/>
      </c>
    </row>
    <row r="81" spans="1:5">
      <c r="A81" s="1089" t="s">
        <v>619</v>
      </c>
      <c r="B81" s="1090"/>
      <c r="C81" s="1090"/>
      <c r="D81" s="1090"/>
      <c r="E81" s="1090"/>
    </row>
  </sheetData>
  <sheetProtection algorithmName="SHA-512" hashValue="kgQEhs/mHuvPnoWdPzKgOTmx5md7dmn9cPl8h9kdnB8CN+L+mpgTMV4lqM//mZBV1XurLAzQYUXHLXCSKtSTlQ==" saltValue="B0+TLhWfP9INzS0xFNrfzw==" spinCount="100000" sheet="1" formatCells="0" formatColumns="0" formatRows="0"/>
  <mergeCells count="238">
    <mergeCell ref="L1:L2"/>
    <mergeCell ref="M1:N2"/>
    <mergeCell ref="O1:O2"/>
    <mergeCell ref="Q1:R2"/>
    <mergeCell ref="B1:C1"/>
    <mergeCell ref="D1:D2"/>
    <mergeCell ref="E1:E2"/>
    <mergeCell ref="F1:F2"/>
    <mergeCell ref="G1:G2"/>
    <mergeCell ref="H1:H2"/>
    <mergeCell ref="I1:I2"/>
    <mergeCell ref="J1:K2"/>
    <mergeCell ref="Y14:Y17"/>
    <mergeCell ref="J65:K65"/>
    <mergeCell ref="M65:N65"/>
    <mergeCell ref="J59:K59"/>
    <mergeCell ref="J60:K60"/>
    <mergeCell ref="J61:K61"/>
    <mergeCell ref="J62:K62"/>
    <mergeCell ref="J63:K63"/>
    <mergeCell ref="J64:K64"/>
    <mergeCell ref="M59:N59"/>
    <mergeCell ref="M60:N60"/>
    <mergeCell ref="M61:N61"/>
    <mergeCell ref="M62:N62"/>
    <mergeCell ref="M63:N63"/>
    <mergeCell ref="M64:N64"/>
    <mergeCell ref="J57:K57"/>
    <mergeCell ref="J58:K58"/>
    <mergeCell ref="M53:N53"/>
    <mergeCell ref="M54:N54"/>
    <mergeCell ref="M55:N55"/>
    <mergeCell ref="M56:N56"/>
    <mergeCell ref="M57:N57"/>
    <mergeCell ref="M58:N58"/>
    <mergeCell ref="J44:K44"/>
    <mergeCell ref="J45:K45"/>
    <mergeCell ref="J46:K46"/>
    <mergeCell ref="O48:O49"/>
    <mergeCell ref="M48:N49"/>
    <mergeCell ref="J48:K49"/>
    <mergeCell ref="L48:L49"/>
    <mergeCell ref="J55:K55"/>
    <mergeCell ref="Q53:R53"/>
    <mergeCell ref="Q54:R54"/>
    <mergeCell ref="Q55:R55"/>
    <mergeCell ref="J54:K54"/>
    <mergeCell ref="M52:N52"/>
    <mergeCell ref="Q51:R51"/>
    <mergeCell ref="Q52:R52"/>
    <mergeCell ref="J53:K53"/>
    <mergeCell ref="M38:N38"/>
    <mergeCell ref="J29:K29"/>
    <mergeCell ref="J30:K30"/>
    <mergeCell ref="J31:K31"/>
    <mergeCell ref="J32:K32"/>
    <mergeCell ref="J33:K33"/>
    <mergeCell ref="J24:K24"/>
    <mergeCell ref="J25:K25"/>
    <mergeCell ref="J26:K26"/>
    <mergeCell ref="J27:K27"/>
    <mergeCell ref="J28:K28"/>
    <mergeCell ref="M33:N33"/>
    <mergeCell ref="M34:N34"/>
    <mergeCell ref="M35:N35"/>
    <mergeCell ref="M36:N36"/>
    <mergeCell ref="M37:N37"/>
    <mergeCell ref="M32:N32"/>
    <mergeCell ref="A7:B8"/>
    <mergeCell ref="Q19:R19"/>
    <mergeCell ref="Q17:R18"/>
    <mergeCell ref="Q20:R20"/>
    <mergeCell ref="Q21:R21"/>
    <mergeCell ref="M9:O9"/>
    <mergeCell ref="M12:O12"/>
    <mergeCell ref="M11:O11"/>
    <mergeCell ref="M10:O10"/>
    <mergeCell ref="O17:O18"/>
    <mergeCell ref="M8:O8"/>
    <mergeCell ref="M7:O7"/>
    <mergeCell ref="M19:N19"/>
    <mergeCell ref="M20:N20"/>
    <mergeCell ref="M21:N21"/>
    <mergeCell ref="M17:N18"/>
    <mergeCell ref="M15:O15"/>
    <mergeCell ref="M14:O14"/>
    <mergeCell ref="M13:O13"/>
    <mergeCell ref="J19:K19"/>
    <mergeCell ref="J20:K20"/>
    <mergeCell ref="J21:K21"/>
    <mergeCell ref="A11:C12"/>
    <mergeCell ref="A9:C10"/>
    <mergeCell ref="A17:A18"/>
    <mergeCell ref="A13:B14"/>
    <mergeCell ref="B17:C17"/>
    <mergeCell ref="C13:C14"/>
    <mergeCell ref="G17:G18"/>
    <mergeCell ref="J17:K18"/>
    <mergeCell ref="H17:H18"/>
    <mergeCell ref="I17:I18"/>
    <mergeCell ref="F17:F18"/>
    <mergeCell ref="D13:J14"/>
    <mergeCell ref="E17:E18"/>
    <mergeCell ref="D17:D18"/>
    <mergeCell ref="J16:O16"/>
    <mergeCell ref="J40:K40"/>
    <mergeCell ref="J41:K41"/>
    <mergeCell ref="J42:K42"/>
    <mergeCell ref="J43:K43"/>
    <mergeCell ref="J34:K34"/>
    <mergeCell ref="J35:K35"/>
    <mergeCell ref="J36:K36"/>
    <mergeCell ref="J37:K37"/>
    <mergeCell ref="J38:K38"/>
    <mergeCell ref="J39:K39"/>
    <mergeCell ref="Q35:R35"/>
    <mergeCell ref="Q36:R36"/>
    <mergeCell ref="Q37:R37"/>
    <mergeCell ref="Q38:R38"/>
    <mergeCell ref="L17:L18"/>
    <mergeCell ref="M27:N27"/>
    <mergeCell ref="M28:N28"/>
    <mergeCell ref="M29:N29"/>
    <mergeCell ref="M30:N30"/>
    <mergeCell ref="M31:N31"/>
    <mergeCell ref="M22:N22"/>
    <mergeCell ref="M23:N23"/>
    <mergeCell ref="M24:N24"/>
    <mergeCell ref="M25:N25"/>
    <mergeCell ref="M26:N26"/>
    <mergeCell ref="Q22:R22"/>
    <mergeCell ref="Q23:R23"/>
    <mergeCell ref="Q24:R24"/>
    <mergeCell ref="Q25:R25"/>
    <mergeCell ref="Q26:R26"/>
    <mergeCell ref="Q27:R27"/>
    <mergeCell ref="Q28:R28"/>
    <mergeCell ref="Q29:R29"/>
    <mergeCell ref="Q30:R30"/>
    <mergeCell ref="M43:N43"/>
    <mergeCell ref="M44:N44"/>
    <mergeCell ref="M45:N45"/>
    <mergeCell ref="M46:N46"/>
    <mergeCell ref="Q39:R39"/>
    <mergeCell ref="Q40:R40"/>
    <mergeCell ref="Q41:R41"/>
    <mergeCell ref="Q42:R42"/>
    <mergeCell ref="Q43:R43"/>
    <mergeCell ref="Q44:R44"/>
    <mergeCell ref="Q45:R45"/>
    <mergeCell ref="Q46:R46"/>
    <mergeCell ref="M39:N39"/>
    <mergeCell ref="M40:N40"/>
    <mergeCell ref="M41:N41"/>
    <mergeCell ref="M42:N42"/>
    <mergeCell ref="Q64:R64"/>
    <mergeCell ref="Q65:R65"/>
    <mergeCell ref="Q59:R59"/>
    <mergeCell ref="Q60:R60"/>
    <mergeCell ref="Q61:R61"/>
    <mergeCell ref="Q62:R62"/>
    <mergeCell ref="Q63:R63"/>
    <mergeCell ref="Q48:R49"/>
    <mergeCell ref="A50:R50"/>
    <mergeCell ref="A48:A49"/>
    <mergeCell ref="B48:C48"/>
    <mergeCell ref="D48:D49"/>
    <mergeCell ref="E48:E49"/>
    <mergeCell ref="F48:F49"/>
    <mergeCell ref="G48:G49"/>
    <mergeCell ref="H48:H49"/>
    <mergeCell ref="I48:I49"/>
    <mergeCell ref="J51:K51"/>
    <mergeCell ref="J52:K52"/>
    <mergeCell ref="M51:N51"/>
    <mergeCell ref="Q56:R56"/>
    <mergeCell ref="Q57:R57"/>
    <mergeCell ref="Q58:R58"/>
    <mergeCell ref="J56:K56"/>
    <mergeCell ref="F7:F8"/>
    <mergeCell ref="G7:G8"/>
    <mergeCell ref="H7:H8"/>
    <mergeCell ref="I7:J8"/>
    <mergeCell ref="D7:E8"/>
    <mergeCell ref="Q31:R31"/>
    <mergeCell ref="Q32:R32"/>
    <mergeCell ref="Q33:R33"/>
    <mergeCell ref="Q34:R34"/>
    <mergeCell ref="J23:K23"/>
    <mergeCell ref="J22:K22"/>
    <mergeCell ref="D9:J10"/>
    <mergeCell ref="D11:J12"/>
    <mergeCell ref="J66:K66"/>
    <mergeCell ref="M66:N66"/>
    <mergeCell ref="Q66:R66"/>
    <mergeCell ref="J67:K67"/>
    <mergeCell ref="M67:N67"/>
    <mergeCell ref="Q67:R67"/>
    <mergeCell ref="J68:K68"/>
    <mergeCell ref="M68:N68"/>
    <mergeCell ref="Q68:R68"/>
    <mergeCell ref="J69:K69"/>
    <mergeCell ref="M69:N69"/>
    <mergeCell ref="Q69:R69"/>
    <mergeCell ref="J70:K70"/>
    <mergeCell ref="M70:N70"/>
    <mergeCell ref="Q70:R70"/>
    <mergeCell ref="J71:K71"/>
    <mergeCell ref="M71:N71"/>
    <mergeCell ref="Q71:R71"/>
    <mergeCell ref="J72:K72"/>
    <mergeCell ref="M72:N72"/>
    <mergeCell ref="Q72:R72"/>
    <mergeCell ref="J73:K73"/>
    <mergeCell ref="M73:N73"/>
    <mergeCell ref="Q73:R73"/>
    <mergeCell ref="J74:K74"/>
    <mergeCell ref="M74:N74"/>
    <mergeCell ref="Q74:R74"/>
    <mergeCell ref="J75:K75"/>
    <mergeCell ref="M75:N75"/>
    <mergeCell ref="Q75:R75"/>
    <mergeCell ref="J76:K76"/>
    <mergeCell ref="M76:N76"/>
    <mergeCell ref="Q76:R76"/>
    <mergeCell ref="J77:K77"/>
    <mergeCell ref="M77:N77"/>
    <mergeCell ref="Q77:R77"/>
    <mergeCell ref="A81:E81"/>
    <mergeCell ref="J78:K78"/>
    <mergeCell ref="M78:N78"/>
    <mergeCell ref="Q78:R78"/>
    <mergeCell ref="J79:K79"/>
    <mergeCell ref="M79:N79"/>
    <mergeCell ref="Q79:R79"/>
    <mergeCell ref="J80:K80"/>
    <mergeCell ref="M80:N80"/>
    <mergeCell ref="Q80:R80"/>
  </mergeCells>
  <phoneticPr fontId="14"/>
  <conditionalFormatting sqref="B19:B46 B51:B80">
    <cfRule type="expression" dxfId="33" priority="4681">
      <formula>EXACT($B19,$Y19)=FALSE</formula>
    </cfRule>
  </conditionalFormatting>
  <conditionalFormatting sqref="D13">
    <cfRule type="expression" dxfId="29" priority="1323">
      <formula>$C$13="✔"</formula>
    </cfRule>
    <cfRule type="expression" dxfId="28" priority="1322">
      <formula>$C$13="（未確定）"</formula>
    </cfRule>
  </conditionalFormatting>
  <conditionalFormatting sqref="F19:F30 F51:F80">
    <cfRule type="expression" dxfId="23" priority="9">
      <formula>AND(F19&lt;&gt;"",F19&lt;&gt;$F$7)</formula>
    </cfRule>
  </conditionalFormatting>
  <conditionalFormatting sqref="G19:G30 G51:G80">
    <cfRule type="expression" dxfId="22" priority="8">
      <formula>AND(G19&lt;&gt;"",G19&lt;&gt;$G$7)</formula>
    </cfRule>
  </conditionalFormatting>
  <conditionalFormatting sqref="H19:H46 H51:H80">
    <cfRule type="expression" dxfId="21" priority="56">
      <formula>$H19="日程未設定"</formula>
    </cfRule>
  </conditionalFormatting>
  <conditionalFormatting sqref="M19:N30 M51:N80">
    <cfRule type="expression" dxfId="14" priority="10">
      <formula>AND(M19&gt;40,O19="",M19&lt;&gt;"")</formula>
    </cfRule>
  </conditionalFormatting>
  <conditionalFormatting sqref="M8:Q8">
    <cfRule type="expression" dxfId="13" priority="22">
      <formula>$S8="←「高校生人数」不一致"</formula>
    </cfRule>
  </conditionalFormatting>
  <conditionalFormatting sqref="M9:Q9">
    <cfRule type="expression" dxfId="12" priority="3978">
      <formula>$S$9="←「大学生人数」不一致"</formula>
    </cfRule>
  </conditionalFormatting>
  <conditionalFormatting sqref="M10:Q10">
    <cfRule type="expression" dxfId="11" priority="3972">
      <formula>$S$10="←「大学院生人数」不一致"</formula>
    </cfRule>
  </conditionalFormatting>
  <conditionalFormatting sqref="M11:Q11">
    <cfRule type="expression" dxfId="10" priority="3980">
      <formula>$S$11="←「ポスドク人数」不一致"</formula>
    </cfRule>
  </conditionalFormatting>
  <conditionalFormatting sqref="M12:Q12">
    <cfRule type="expression" dxfId="9" priority="3974">
      <formula>$S$12="←「教員人数」不一致"</formula>
    </cfRule>
  </conditionalFormatting>
  <conditionalFormatting sqref="M13:Q13">
    <cfRule type="expression" dxfId="8" priority="3982">
      <formula>$S$13="←「研究者人数」不一致"</formula>
    </cfRule>
  </conditionalFormatting>
  <conditionalFormatting sqref="M14:Q14">
    <cfRule type="expression" dxfId="7" priority="3984">
      <formula>$S$14="←「その他人数」不一致"</formula>
    </cfRule>
  </conditionalFormatting>
  <conditionalFormatting sqref="O19:O30 O51:O80">
    <cfRule type="expression" dxfId="6" priority="2">
      <formula>AND($O19="引率者",COUNTIFS($I$19:$I$65,$I19,$O$19:$O$65,"引率者")&gt;1)</formula>
    </cfRule>
  </conditionalFormatting>
  <conditionalFormatting sqref="Q16">
    <cfRule type="expression" dxfId="5" priority="4003">
      <formula>$S$16="←JST支援の引率者人数上限を超えています。"</formula>
    </cfRule>
  </conditionalFormatting>
  <conditionalFormatting sqref="Q16:R16">
    <cfRule type="expression" dxfId="4" priority="6">
      <formula>$S$16="←引率者は1機関1名までです。"</formula>
    </cfRule>
  </conditionalFormatting>
  <conditionalFormatting sqref="R15">
    <cfRule type="expression" dxfId="3" priority="18">
      <formula>$S15="←「自己資金招へい者」人数不一致"</formula>
    </cfRule>
  </conditionalFormatting>
  <conditionalFormatting sqref="X49:AG49 Y50:AH50">
    <cfRule type="expression" dxfId="2" priority="19">
      <formula>#REF!&lt;&gt;"（申請時記入不要）"</formula>
    </cfRule>
  </conditionalFormatting>
  <conditionalFormatting sqref="Y14 X17 Z17:AG17 Y18:AH18">
    <cfRule type="expression" dxfId="1" priority="88">
      <formula>#REF!&lt;&gt;"（申請時記入不要）"</formula>
    </cfRule>
  </conditionalFormatting>
  <conditionalFormatting sqref="AP18">
    <cfRule type="expression" dxfId="0" priority="12">
      <formula>#REF!&lt;&gt;"（申請時記入不要）"</formula>
    </cfRule>
  </conditionalFormatting>
  <dataValidations count="11">
    <dataValidation type="list" allowBlank="1" showInputMessage="1" showErrorMessage="1" sqref="O19:P46 O51:O80" xr:uid="{A152128F-65F8-4EEC-8239-C93C03BCBA0C}">
      <formula1>"引率者"</formula1>
    </dataValidation>
    <dataValidation imeMode="off" allowBlank="1" showInputMessage="1" showErrorMessage="1" sqref="B31:B46 E51:E80" xr:uid="{60BC0427-3627-4424-8917-149F4A7F1355}"/>
    <dataValidation type="list" allowBlank="1" showInputMessage="1" showErrorMessage="1" sqref="C13" xr:uid="{5FD2EB0E-7E78-4CAA-A023-0E4677FBFAB2}">
      <formula1>"（未確定）,✔"</formula1>
    </dataValidation>
    <dataValidation type="list" allowBlank="1" showInputMessage="1" showErrorMessage="1" sqref="D31:D46" xr:uid="{0BF42BA4-B985-47CC-8283-21D69D9BE987}">
      <formula1>"M,F"</formula1>
    </dataValidation>
    <dataValidation imeMode="halfAlpha" allowBlank="1" showInputMessage="1" showErrorMessage="1" sqref="F19:G46 F51:G80" xr:uid="{3D7229B9-9BE2-4B9D-B619-138793F02EA3}"/>
    <dataValidation imeMode="disabled" allowBlank="1" showInputMessage="1" showErrorMessage="1" sqref="B51:B80 B19:B30 E19:E46" xr:uid="{4A75FA89-9CC8-49CF-BD82-C76DEBDC3D30}"/>
    <dataValidation type="list" allowBlank="1" showInputMessage="1" showErrorMessage="1" sqref="L19:L46 L51:L80" xr:uid="{9DA29818-0968-41FD-991B-5D8D1AC3C129}">
      <formula1>"高校生,大学生,大学院生,ポスドク,教員,研究者,その他"</formula1>
    </dataValidation>
    <dataValidation type="list" showInputMessage="1" showErrorMessage="1" sqref="I19:I46" xr:uid="{E4E806F4-603F-4CFE-AF6C-F8A8445B7187}">
      <formula1>INDIRECT("'3)招へい者4)受入れ体制'!C5:C"&amp;29-COUNTBLANK(送出し機関名))</formula1>
    </dataValidation>
    <dataValidation imeMode="hiragana" allowBlank="1" showInputMessage="1" showErrorMessage="1" sqref="C22:C47 C19:C20 C51:C80" xr:uid="{B9B8E21B-6D31-4617-A40F-E235AAC00A7D}"/>
    <dataValidation type="list" allowBlank="1" showInputMessage="1" showErrorMessage="1" sqref="J19:K30 J51:K80" xr:uid="{1F4D2C5C-E7C1-4EAA-873F-D5AF1CD00516}">
      <formula1>国・地域リスト_招へい者リスト用</formula1>
    </dataValidation>
    <dataValidation type="list" allowBlank="1" showInputMessage="1" showErrorMessage="1" sqref="D19:D30 D51:D80" xr:uid="{0720FF06-0179-496E-8C5B-88FC4D7C6692}">
      <formula1>"M,F,O"</formula1>
    </dataValidation>
  </dataValidations>
  <printOptions horizontalCentered="1"/>
  <pageMargins left="0.39370078740157483" right="0.39370078740157483" top="0.39370078740157483" bottom="0.39370078740157483" header="0.19685039370078741" footer="0.19685039370078741"/>
  <pageSetup paperSize="9" scale="80" fitToHeight="0" orientation="landscape" r:id="rId1"/>
  <headerFooter>
    <oddHeader>&amp;C&amp;9&amp;F</oddHeader>
    <oddFooter>&amp;C&amp;P/&amp;N</oddFooter>
  </headerFooter>
  <ignoredErrors>
    <ignoredError sqref="F21:F25 F20:G20 F28:F30 F26:F27 G28 G21:G27 G29:G30 F19:G19 F52:G60 G51" unlockedFormula="1"/>
  </ignoredErrors>
  <drawing r:id="rId2"/>
  <extLst>
    <ext xmlns:x14="http://schemas.microsoft.com/office/spreadsheetml/2009/9/main" uri="{78C0D931-6437-407d-A8EE-F0AAD7539E65}">
      <x14:conditionalFormattings>
        <x14:conditionalFormatting xmlns:xm="http://schemas.microsoft.com/office/excel/2006/main">
          <x14:cfRule type="expression" priority="61" id="{877318D5-57CE-4EC4-8DEE-98017A82FD42}">
            <xm:f>AND($A19&lt;='3)招へい者4)受入れ体制'!L$31,$B19="")</xm:f>
            <x14:dxf>
              <fill>
                <patternFill>
                  <bgColor rgb="FFFFFF99"/>
                </patternFill>
              </fill>
            </x14:dxf>
          </x14:cfRule>
          <xm:sqref>B19:B46</xm:sqref>
        </x14:conditionalFormatting>
        <x14:conditionalFormatting xmlns:xm="http://schemas.microsoft.com/office/excel/2006/main">
          <x14:cfRule type="expression" priority="15" id="{36F4B833-DB03-4828-9C27-5248E743C213}">
            <xm:f>AND($P51&lt;='3)招へい者4)受入れ体制'!$D$34,$B51="")</xm:f>
            <x14:dxf>
              <fill>
                <patternFill>
                  <bgColor rgb="FFFFFF99"/>
                </patternFill>
              </fill>
            </x14:dxf>
          </x14:cfRule>
          <xm:sqref>B51:B80</xm:sqref>
        </x14:conditionalFormatting>
        <x14:conditionalFormatting xmlns:xm="http://schemas.microsoft.com/office/excel/2006/main">
          <x14:cfRule type="expression" priority="76" id="{E5FFE5B0-509B-4EA5-8D6F-C284FA3C609C}">
            <xm:f>AND('1)受入れ機関概要'!$A$3="業務計画書",$C$13="（未確定）")</xm:f>
            <x14:dxf>
              <fill>
                <patternFill>
                  <bgColor rgb="FFFFFF99"/>
                </patternFill>
              </fill>
            </x14:dxf>
          </x14:cfRule>
          <xm:sqref>C13:C14</xm:sqref>
        </x14:conditionalFormatting>
        <x14:conditionalFormatting xmlns:xm="http://schemas.microsoft.com/office/excel/2006/main">
          <x14:cfRule type="expression" priority="60" id="{9E89E5DD-E004-4D7D-92F0-695C57D038C8}">
            <xm:f>AND($A19&lt;='3)招へい者4)受入れ体制'!L$31,$D19="")</xm:f>
            <x14:dxf>
              <fill>
                <patternFill>
                  <bgColor rgb="FFFFFF99"/>
                </patternFill>
              </fill>
            </x14:dxf>
          </x14:cfRule>
          <xm:sqref>D19:D46</xm:sqref>
        </x14:conditionalFormatting>
        <x14:conditionalFormatting xmlns:xm="http://schemas.microsoft.com/office/excel/2006/main">
          <x14:cfRule type="expression" priority="41" id="{00000000-000E-0000-0700-000018000000}">
            <xm:f>AND($P51&lt;='3)招へい者4)受入れ体制'!$D$34,$D51="")</xm:f>
            <x14:dxf>
              <fill>
                <patternFill>
                  <bgColor rgb="FFFFFF99"/>
                </patternFill>
              </fill>
            </x14:dxf>
          </x14:cfRule>
          <xm:sqref>D51:D80</xm:sqref>
        </x14:conditionalFormatting>
        <x14:conditionalFormatting xmlns:xm="http://schemas.microsoft.com/office/excel/2006/main">
          <x14:cfRule type="expression" priority="59" id="{7DB24700-FD05-4378-99D6-E16BD8A64A27}">
            <xm:f>AND($A19&lt;='3)招へい者4)受入れ体制'!L$31,$E19="")</xm:f>
            <x14:dxf>
              <fill>
                <patternFill>
                  <bgColor rgb="FFFFFF99"/>
                </patternFill>
              </fill>
            </x14:dxf>
          </x14:cfRule>
          <xm:sqref>E19:E46</xm:sqref>
        </x14:conditionalFormatting>
        <x14:conditionalFormatting xmlns:xm="http://schemas.microsoft.com/office/excel/2006/main">
          <x14:cfRule type="expression" priority="40" id="{00000000-000E-0000-0700-000017000000}">
            <xm:f>AND($P51&lt;='3)招へい者4)受入れ体制'!$D$34,$E51="")</xm:f>
            <x14:dxf>
              <fill>
                <patternFill>
                  <bgColor rgb="FFFFFF99"/>
                </patternFill>
              </fill>
            </x14:dxf>
          </x14:cfRule>
          <xm:sqref>E51:E80</xm:sqref>
        </x14:conditionalFormatting>
        <x14:conditionalFormatting xmlns:xm="http://schemas.microsoft.com/office/excel/2006/main">
          <x14:cfRule type="expression" priority="58" id="{C2FAE02F-38D1-470B-A063-E325B8694CF7}">
            <xm:f>AND($A19&lt;='3)招へい者4)受入れ体制'!L$31,$I19="")</xm:f>
            <x14:dxf>
              <fill>
                <patternFill>
                  <bgColor rgb="FFFFFF99"/>
                </patternFill>
              </fill>
            </x14:dxf>
          </x14:cfRule>
          <xm:sqref>I19:I46</xm:sqref>
        </x14:conditionalFormatting>
        <x14:conditionalFormatting xmlns:xm="http://schemas.microsoft.com/office/excel/2006/main">
          <x14:cfRule type="expression" priority="37" id="{00000000-000E-0000-0700-000014000000}">
            <xm:f>AND($P51&lt;='3)招へい者4)受入れ体制'!$D$34,$I51="")</xm:f>
            <x14:dxf>
              <fill>
                <patternFill>
                  <bgColor rgb="FFFFFF99"/>
                </patternFill>
              </fill>
            </x14:dxf>
          </x14:cfRule>
          <xm:sqref>I51:I80</xm:sqref>
        </x14:conditionalFormatting>
        <x14:conditionalFormatting xmlns:xm="http://schemas.microsoft.com/office/excel/2006/main">
          <x14:cfRule type="expression" priority="57" id="{BF4B054C-4E14-4090-A88F-8A0441714BE7}">
            <xm:f>AND($A19&lt;='3)招へい者4)受入れ体制'!L$31,$J19="")</xm:f>
            <x14:dxf>
              <fill>
                <patternFill>
                  <bgColor rgb="FFFFFF99"/>
                </patternFill>
              </fill>
            </x14:dxf>
          </x14:cfRule>
          <xm:sqref>J19:J46</xm:sqref>
        </x14:conditionalFormatting>
        <x14:conditionalFormatting xmlns:xm="http://schemas.microsoft.com/office/excel/2006/main">
          <x14:cfRule type="expression" priority="14" id="{4B8DBCCF-B635-4306-8D2D-4DC979F6D630}">
            <xm:f>AND($P51&lt;='3)招へい者4)受入れ体制'!$D$34,$J51="")</xm:f>
            <x14:dxf>
              <fill>
                <patternFill>
                  <bgColor rgb="FFFFFF99"/>
                </patternFill>
              </fill>
            </x14:dxf>
          </x14:cfRule>
          <xm:sqref>J51:J80</xm:sqref>
        </x14:conditionalFormatting>
        <x14:conditionalFormatting xmlns:xm="http://schemas.microsoft.com/office/excel/2006/main">
          <x14:cfRule type="expression" priority="3993" id="{00000000-000E-0000-0700-00004B0A0000}">
            <xm:f>AND($A19&lt;='3)招へい者4)受入れ体制'!L$31,$L19="")</xm:f>
            <x14:dxf>
              <fill>
                <patternFill>
                  <bgColor rgb="FFFFFF99"/>
                </patternFill>
              </fill>
            </x14:dxf>
          </x14:cfRule>
          <xm:sqref>L19:L46</xm:sqref>
        </x14:conditionalFormatting>
        <x14:conditionalFormatting xmlns:xm="http://schemas.microsoft.com/office/excel/2006/main">
          <x14:cfRule type="expression" priority="17" id="{CE3089FE-CADF-4013-9430-C202B458449E}">
            <xm:f>AND($P51&lt;='3)招へい者4)受入れ体制'!$D$34,$L51="")</xm:f>
            <x14:dxf>
              <fill>
                <patternFill>
                  <bgColor rgb="FFFFFF99"/>
                </patternFill>
              </fill>
            </x14:dxf>
          </x14:cfRule>
          <xm:sqref>L51:L80</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2D4F71F7-AA3A-443A-A625-FFFCA91A7730}">
          <x14:formula1>
            <xm:f>隠しシート!$C$4:$C$151</xm:f>
          </x14:formula1>
          <xm:sqref>J31:K46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BAE19-102E-49C5-B21A-8D8AEE0EF7B1}">
  <sheetPr codeName="Sheet9">
    <pageSetUpPr fitToPage="1"/>
  </sheetPr>
  <dimension ref="A1:N42"/>
  <sheetViews>
    <sheetView showGridLines="0" zoomScaleNormal="100" zoomScaleSheetLayoutView="100" workbookViewId="0">
      <pane ySplit="2" topLeftCell="A3" activePane="bottomLeft" state="frozen"/>
      <selection pane="bottomLeft"/>
    </sheetView>
  </sheetViews>
  <sheetFormatPr defaultColWidth="0" defaultRowHeight="15.75"/>
  <cols>
    <col min="1" max="1" width="3.5546875" style="324" customWidth="1"/>
    <col min="2" max="2" width="9.77734375" style="328" customWidth="1"/>
    <col min="3" max="3" width="12.77734375" style="324" customWidth="1"/>
    <col min="4" max="4" width="21.77734375" style="324" customWidth="1"/>
    <col min="5" max="6" width="21.77734375" style="364" customWidth="1"/>
    <col min="7" max="8" width="1" style="324" customWidth="1"/>
    <col min="9" max="9" width="9.77734375" style="324" customWidth="1"/>
    <col min="10" max="10" width="13.109375" style="324" customWidth="1"/>
    <col min="11" max="11" width="14.44140625" style="324" customWidth="1"/>
    <col min="12" max="12" width="17.109375" style="324" customWidth="1"/>
    <col min="13" max="13" width="17.5546875" style="324" customWidth="1"/>
    <col min="14" max="14" width="1.6640625" style="324" customWidth="1"/>
    <col min="15" max="16384" width="9.109375" style="324" hidden="1"/>
  </cols>
  <sheetData>
    <row r="1" spans="1:14" customFormat="1">
      <c r="A1" s="477"/>
      <c r="B1" s="1162" t="s">
        <v>74</v>
      </c>
      <c r="C1" s="1164" t="s">
        <v>616</v>
      </c>
      <c r="D1" s="1162" t="s">
        <v>73</v>
      </c>
      <c r="E1" s="1176" t="s">
        <v>69</v>
      </c>
      <c r="F1" s="1174" t="s">
        <v>75</v>
      </c>
      <c r="H1" s="324"/>
      <c r="I1" s="366" t="s">
        <v>551</v>
      </c>
      <c r="J1" s="324"/>
      <c r="K1" s="324"/>
      <c r="L1" s="324"/>
      <c r="M1" s="324"/>
      <c r="N1" s="324"/>
    </row>
    <row r="2" spans="1:14" customFormat="1">
      <c r="A2" s="478"/>
      <c r="B2" s="1163"/>
      <c r="C2" s="1165"/>
      <c r="D2" s="1163"/>
      <c r="E2" s="1177"/>
      <c r="F2" s="1175"/>
      <c r="H2" s="324"/>
      <c r="I2" s="1173" t="s">
        <v>614</v>
      </c>
      <c r="J2" s="1168" t="s">
        <v>212</v>
      </c>
      <c r="K2" s="1168"/>
      <c r="L2" s="1172" t="s">
        <v>615</v>
      </c>
      <c r="M2" s="1172"/>
      <c r="N2" s="324"/>
    </row>
    <row r="3" spans="1:14" customFormat="1" ht="15" customHeight="1">
      <c r="A3" s="470"/>
      <c r="B3" s="470"/>
      <c r="C3" s="470"/>
      <c r="D3" s="470"/>
      <c r="E3" s="470"/>
      <c r="F3" s="470"/>
      <c r="H3" s="324"/>
      <c r="I3" s="1173"/>
      <c r="J3" s="1169" t="s">
        <v>602</v>
      </c>
      <c r="K3" s="1169"/>
      <c r="L3" s="1169" t="s">
        <v>606</v>
      </c>
      <c r="M3" s="1169"/>
      <c r="N3" s="324"/>
    </row>
    <row r="4" spans="1:14" customFormat="1" ht="15" customHeight="1">
      <c r="A4" s="470"/>
      <c r="B4" s="470"/>
      <c r="C4" s="470"/>
      <c r="D4" s="470"/>
      <c r="E4" s="470"/>
      <c r="F4" s="470"/>
      <c r="H4" s="324"/>
      <c r="I4" s="1173"/>
      <c r="J4" s="1169" t="s">
        <v>587</v>
      </c>
      <c r="K4" s="1169"/>
      <c r="L4" s="1169" t="s">
        <v>588</v>
      </c>
      <c r="M4" s="1169"/>
      <c r="N4" s="324"/>
    </row>
    <row r="5" spans="1:14" customFormat="1" ht="15" customHeight="1">
      <c r="A5" s="470"/>
      <c r="B5" s="470"/>
      <c r="C5" s="470"/>
      <c r="D5" s="470"/>
      <c r="E5" s="470"/>
      <c r="F5" s="470"/>
      <c r="H5" s="324"/>
      <c r="I5" s="1173"/>
      <c r="J5" s="1169" t="s">
        <v>591</v>
      </c>
      <c r="K5" s="1169"/>
      <c r="L5" s="1169" t="s">
        <v>209</v>
      </c>
      <c r="M5" s="1169"/>
      <c r="N5" s="324"/>
    </row>
    <row r="6" spans="1:14" customFormat="1" ht="15" customHeight="1">
      <c r="A6" s="470"/>
      <c r="B6" s="470"/>
      <c r="C6" s="470"/>
      <c r="D6" s="470"/>
      <c r="E6" s="470"/>
      <c r="F6" s="470"/>
      <c r="H6" s="324"/>
      <c r="I6" s="1173"/>
      <c r="J6" s="1170"/>
      <c r="K6" s="1171"/>
      <c r="L6" s="1169" t="s">
        <v>210</v>
      </c>
      <c r="M6" s="1169"/>
      <c r="N6" s="324"/>
    </row>
    <row r="7" spans="1:14" customFormat="1" ht="15" customHeight="1">
      <c r="B7" s="8"/>
      <c r="E7" s="9"/>
      <c r="F7" s="9" t="str">
        <f>'1)受入れ機関概要'!G1</f>
        <v>Ver.2501</v>
      </c>
      <c r="H7" s="324"/>
      <c r="I7" s="1173"/>
      <c r="J7" s="1170"/>
      <c r="K7" s="1171"/>
      <c r="L7" s="1169" t="s">
        <v>647</v>
      </c>
      <c r="M7" s="1169"/>
      <c r="N7" s="324"/>
    </row>
    <row r="8" spans="1:14" customFormat="1" ht="18.600000000000001" customHeight="1">
      <c r="A8" s="32" t="s">
        <v>163</v>
      </c>
      <c r="B8" s="4"/>
      <c r="C8" s="4"/>
      <c r="D8" s="4"/>
      <c r="E8" s="10"/>
      <c r="F8" s="10"/>
      <c r="H8" s="324"/>
      <c r="I8" s="1173"/>
      <c r="J8" s="1170"/>
      <c r="K8" s="1171"/>
      <c r="L8" s="1169" t="s">
        <v>211</v>
      </c>
      <c r="M8" s="1169"/>
      <c r="N8" s="324"/>
    </row>
    <row r="9" spans="1:14" customFormat="1" ht="15" customHeight="1">
      <c r="A9" s="470"/>
      <c r="B9" s="1166" t="s">
        <v>617</v>
      </c>
      <c r="C9" s="1166"/>
      <c r="D9" s="1166"/>
      <c r="E9" s="1166"/>
      <c r="F9" s="1166"/>
      <c r="H9" s="324"/>
      <c r="I9" s="1173"/>
      <c r="J9" s="1170"/>
      <c r="K9" s="1171"/>
      <c r="L9" s="1169" t="s">
        <v>589</v>
      </c>
      <c r="M9" s="1169"/>
      <c r="N9" s="324"/>
    </row>
    <row r="10" spans="1:14" customFormat="1">
      <c r="B10" s="1167"/>
      <c r="C10" s="1167"/>
      <c r="D10" s="1167"/>
      <c r="E10" s="1167"/>
      <c r="F10" s="1167"/>
      <c r="H10" s="324"/>
      <c r="I10" s="395" t="s">
        <v>248</v>
      </c>
      <c r="J10" s="324"/>
      <c r="K10" s="324"/>
      <c r="L10" s="324"/>
      <c r="M10" s="324"/>
      <c r="N10" s="324"/>
    </row>
    <row r="11" spans="1:14" s="8" customFormat="1" ht="32.450000000000003" customHeight="1">
      <c r="A11" s="22" t="s">
        <v>51</v>
      </c>
      <c r="B11" s="407" t="s">
        <v>74</v>
      </c>
      <c r="C11" s="13" t="s">
        <v>616</v>
      </c>
      <c r="D11" s="14" t="s">
        <v>73</v>
      </c>
      <c r="E11" s="15" t="s">
        <v>69</v>
      </c>
      <c r="F11" s="16" t="s">
        <v>75</v>
      </c>
      <c r="H11" s="328"/>
      <c r="I11" s="390" t="s">
        <v>74</v>
      </c>
      <c r="J11" s="394" t="s">
        <v>616</v>
      </c>
      <c r="K11" s="391" t="s">
        <v>73</v>
      </c>
      <c r="L11" s="392" t="s">
        <v>69</v>
      </c>
      <c r="M11" s="393" t="s">
        <v>75</v>
      </c>
      <c r="N11" s="328"/>
    </row>
    <row r="12" spans="1:14" customFormat="1" ht="78" customHeight="1">
      <c r="A12" s="425">
        <v>1</v>
      </c>
      <c r="B12" s="408"/>
      <c r="C12" s="77"/>
      <c r="D12" s="78"/>
      <c r="E12" s="77"/>
      <c r="F12" s="79"/>
      <c r="H12" s="324"/>
      <c r="I12" s="396" t="s">
        <v>515</v>
      </c>
      <c r="J12" s="397" t="s">
        <v>590</v>
      </c>
      <c r="K12" s="397" t="s">
        <v>534</v>
      </c>
      <c r="L12" s="397" t="s">
        <v>177</v>
      </c>
      <c r="M12" s="398" t="s">
        <v>178</v>
      </c>
      <c r="N12" s="324"/>
    </row>
    <row r="13" spans="1:14" customFormat="1" ht="78" customHeight="1">
      <c r="A13" s="425">
        <v>2</v>
      </c>
      <c r="B13" s="408"/>
      <c r="C13" s="77"/>
      <c r="D13" s="78"/>
      <c r="E13" s="77"/>
      <c r="F13" s="80"/>
      <c r="H13" s="324"/>
      <c r="I13" s="399" t="s">
        <v>515</v>
      </c>
      <c r="J13" s="400" t="s">
        <v>591</v>
      </c>
      <c r="K13" s="400" t="s">
        <v>535</v>
      </c>
      <c r="L13" s="400" t="s">
        <v>179</v>
      </c>
      <c r="M13" s="401" t="s">
        <v>542</v>
      </c>
      <c r="N13" s="324"/>
    </row>
    <row r="14" spans="1:14" customFormat="1" ht="78" customHeight="1">
      <c r="A14" s="425">
        <v>3</v>
      </c>
      <c r="B14" s="408"/>
      <c r="C14" s="77"/>
      <c r="D14" s="78"/>
      <c r="E14" s="77"/>
      <c r="F14" s="80"/>
      <c r="H14" s="324"/>
      <c r="I14" s="399" t="s">
        <v>592</v>
      </c>
      <c r="J14" s="400" t="s">
        <v>605</v>
      </c>
      <c r="K14" s="400" t="s">
        <v>610</v>
      </c>
      <c r="L14" s="400" t="s">
        <v>611</v>
      </c>
      <c r="M14" s="401" t="s">
        <v>611</v>
      </c>
      <c r="N14" s="324"/>
    </row>
    <row r="15" spans="1:14" customFormat="1" ht="78" customHeight="1">
      <c r="A15" s="425">
        <v>4</v>
      </c>
      <c r="B15" s="408"/>
      <c r="C15" s="77"/>
      <c r="D15" s="78"/>
      <c r="E15" s="77"/>
      <c r="F15" s="80"/>
      <c r="H15" s="324"/>
      <c r="I15" s="402"/>
      <c r="J15" s="324"/>
      <c r="K15" s="324"/>
      <c r="L15" s="324"/>
      <c r="M15" s="324"/>
      <c r="N15" s="324"/>
    </row>
    <row r="16" spans="1:14" customFormat="1" ht="78" customHeight="1">
      <c r="A16" s="425">
        <v>5</v>
      </c>
      <c r="B16" s="408"/>
      <c r="C16" s="77"/>
      <c r="D16" s="78"/>
      <c r="E16" s="77"/>
      <c r="F16" s="80"/>
      <c r="H16" s="324"/>
      <c r="I16" s="324"/>
      <c r="J16" s="324"/>
      <c r="K16" s="324"/>
      <c r="L16" s="324"/>
      <c r="M16" s="324"/>
      <c r="N16" s="324"/>
    </row>
    <row r="17" spans="1:14" customFormat="1" ht="78" customHeight="1">
      <c r="A17" s="425">
        <v>6</v>
      </c>
      <c r="B17" s="408"/>
      <c r="C17" s="77"/>
      <c r="D17" s="78"/>
      <c r="E17" s="77"/>
      <c r="F17" s="80"/>
      <c r="H17" s="324"/>
      <c r="I17" s="402"/>
      <c r="J17" s="324"/>
      <c r="K17" s="324"/>
      <c r="L17" s="324"/>
      <c r="M17" s="324"/>
      <c r="N17" s="324"/>
    </row>
    <row r="18" spans="1:14" customFormat="1" ht="78" customHeight="1">
      <c r="A18" s="425">
        <v>7</v>
      </c>
      <c r="B18" s="408"/>
      <c r="C18" s="77"/>
      <c r="D18" s="78"/>
      <c r="E18" s="77"/>
      <c r="F18" s="80"/>
      <c r="H18" s="324"/>
      <c r="I18" s="324"/>
      <c r="J18" s="324"/>
      <c r="K18" s="324"/>
      <c r="L18" s="324"/>
      <c r="M18" s="324"/>
      <c r="N18" s="324"/>
    </row>
    <row r="19" spans="1:14" customFormat="1" ht="78" customHeight="1">
      <c r="A19" s="425">
        <v>8</v>
      </c>
      <c r="B19" s="408"/>
      <c r="C19" s="77"/>
      <c r="D19" s="78"/>
      <c r="E19" s="77"/>
      <c r="F19" s="80"/>
      <c r="H19" s="324"/>
      <c r="I19" s="324"/>
      <c r="J19" s="324"/>
      <c r="K19" s="324"/>
      <c r="L19" s="324"/>
      <c r="M19" s="324"/>
      <c r="N19" s="324"/>
    </row>
    <row r="20" spans="1:14" customFormat="1" ht="78" customHeight="1">
      <c r="A20" s="425">
        <v>9</v>
      </c>
      <c r="B20" s="408"/>
      <c r="C20" s="77"/>
      <c r="D20" s="78"/>
      <c r="E20" s="77"/>
      <c r="F20" s="80"/>
      <c r="H20" s="324"/>
      <c r="I20" s="324"/>
      <c r="J20" s="324"/>
      <c r="K20" s="324"/>
      <c r="L20" s="324"/>
      <c r="M20" s="324"/>
      <c r="N20" s="324"/>
    </row>
    <row r="21" spans="1:14" customFormat="1" ht="78" customHeight="1">
      <c r="A21" s="425">
        <v>10</v>
      </c>
      <c r="B21" s="408"/>
      <c r="C21" s="77"/>
      <c r="D21" s="78"/>
      <c r="E21" s="77"/>
      <c r="F21" s="80"/>
      <c r="H21" s="324"/>
      <c r="I21" s="324"/>
      <c r="J21" s="324"/>
      <c r="K21" s="324"/>
      <c r="L21" s="324"/>
      <c r="M21" s="324"/>
      <c r="N21" s="324"/>
    </row>
    <row r="22" spans="1:14" customFormat="1" ht="78" customHeight="1">
      <c r="A22" s="425">
        <v>11</v>
      </c>
      <c r="B22" s="408"/>
      <c r="C22" s="77"/>
      <c r="D22" s="78"/>
      <c r="E22" s="77"/>
      <c r="F22" s="80"/>
      <c r="H22" s="324"/>
      <c r="I22" s="324"/>
      <c r="J22" s="324"/>
      <c r="K22" s="324"/>
      <c r="L22" s="324"/>
      <c r="M22" s="324"/>
      <c r="N22" s="324"/>
    </row>
    <row r="23" spans="1:14" customFormat="1" ht="78" customHeight="1">
      <c r="A23" s="425">
        <v>12</v>
      </c>
      <c r="B23" s="408"/>
      <c r="C23" s="77"/>
      <c r="D23" s="78"/>
      <c r="E23" s="77"/>
      <c r="F23" s="80"/>
      <c r="H23" s="324"/>
      <c r="I23" s="324"/>
      <c r="J23" s="324"/>
      <c r="K23" s="324"/>
      <c r="L23" s="324"/>
      <c r="M23" s="324"/>
      <c r="N23" s="324"/>
    </row>
    <row r="24" spans="1:14" customFormat="1" ht="78" customHeight="1">
      <c r="A24" s="425">
        <v>13</v>
      </c>
      <c r="B24" s="408"/>
      <c r="C24" s="77"/>
      <c r="D24" s="78"/>
      <c r="E24" s="77"/>
      <c r="F24" s="80"/>
      <c r="H24" s="324"/>
      <c r="I24" s="324"/>
      <c r="J24" s="324"/>
      <c r="K24" s="324"/>
      <c r="L24" s="324"/>
      <c r="M24" s="324"/>
      <c r="N24" s="324"/>
    </row>
    <row r="25" spans="1:14" customFormat="1" ht="78" customHeight="1">
      <c r="A25" s="425">
        <v>14</v>
      </c>
      <c r="B25" s="408"/>
      <c r="C25" s="77"/>
      <c r="D25" s="78"/>
      <c r="E25" s="77"/>
      <c r="F25" s="80"/>
      <c r="H25" s="324"/>
      <c r="I25" s="324"/>
      <c r="J25" s="324"/>
      <c r="K25" s="324"/>
      <c r="L25" s="324"/>
      <c r="M25" s="324"/>
      <c r="N25" s="324"/>
    </row>
    <row r="26" spans="1:14" customFormat="1" ht="78" customHeight="1">
      <c r="A26" s="425">
        <v>15</v>
      </c>
      <c r="B26" s="408"/>
      <c r="C26" s="77"/>
      <c r="D26" s="78"/>
      <c r="E26" s="77"/>
      <c r="F26" s="80"/>
      <c r="H26" s="324"/>
      <c r="I26" s="324"/>
      <c r="J26" s="324"/>
      <c r="K26" s="324"/>
      <c r="L26" s="324"/>
      <c r="M26" s="324"/>
      <c r="N26" s="324"/>
    </row>
    <row r="27" spans="1:14" customFormat="1" ht="78" customHeight="1">
      <c r="A27" s="425">
        <v>16</v>
      </c>
      <c r="B27" s="408"/>
      <c r="C27" s="77"/>
      <c r="D27" s="78"/>
      <c r="E27" s="77"/>
      <c r="F27" s="80"/>
      <c r="H27" s="324"/>
      <c r="I27" s="324"/>
      <c r="J27" s="324"/>
      <c r="K27" s="324"/>
      <c r="L27" s="324"/>
      <c r="M27" s="324"/>
      <c r="N27" s="324"/>
    </row>
    <row r="28" spans="1:14" customFormat="1" ht="78" customHeight="1">
      <c r="A28" s="425">
        <v>17</v>
      </c>
      <c r="B28" s="408"/>
      <c r="C28" s="77"/>
      <c r="D28" s="78"/>
      <c r="E28" s="77"/>
      <c r="F28" s="80"/>
      <c r="H28" s="324"/>
      <c r="I28" s="324"/>
      <c r="J28" s="324"/>
      <c r="K28" s="324"/>
      <c r="L28" s="324"/>
      <c r="M28" s="324"/>
      <c r="N28" s="324"/>
    </row>
    <row r="29" spans="1:14" customFormat="1" ht="78" customHeight="1">
      <c r="A29" s="425">
        <v>18</v>
      </c>
      <c r="B29" s="408"/>
      <c r="C29" s="77"/>
      <c r="D29" s="78"/>
      <c r="E29" s="77"/>
      <c r="F29" s="80"/>
      <c r="H29" s="324"/>
      <c r="I29" s="324"/>
      <c r="J29" s="324"/>
      <c r="K29" s="324"/>
      <c r="L29" s="324"/>
      <c r="M29" s="324"/>
      <c r="N29" s="324"/>
    </row>
    <row r="30" spans="1:14" customFormat="1" ht="78" customHeight="1">
      <c r="A30" s="425">
        <v>19</v>
      </c>
      <c r="B30" s="408"/>
      <c r="C30" s="77"/>
      <c r="D30" s="78"/>
      <c r="E30" s="77"/>
      <c r="F30" s="80"/>
      <c r="H30" s="324"/>
      <c r="I30" s="324"/>
      <c r="J30" s="324"/>
      <c r="K30" s="324"/>
      <c r="L30" s="324"/>
      <c r="M30" s="324"/>
      <c r="N30" s="324"/>
    </row>
    <row r="31" spans="1:14" customFormat="1" ht="78" customHeight="1">
      <c r="A31" s="425">
        <v>20</v>
      </c>
      <c r="B31" s="408"/>
      <c r="C31" s="77"/>
      <c r="D31" s="78"/>
      <c r="E31" s="77"/>
      <c r="F31" s="80"/>
      <c r="H31" s="324"/>
      <c r="I31" s="324"/>
      <c r="J31" s="324"/>
      <c r="K31" s="324"/>
      <c r="L31" s="324"/>
      <c r="M31" s="324"/>
      <c r="N31" s="324"/>
    </row>
    <row r="32" spans="1:14" customFormat="1" ht="78" customHeight="1">
      <c r="A32" s="425">
        <v>21</v>
      </c>
      <c r="B32" s="408"/>
      <c r="C32" s="77"/>
      <c r="D32" s="78"/>
      <c r="E32" s="77"/>
      <c r="F32" s="80"/>
      <c r="H32" s="324"/>
      <c r="I32" s="324"/>
      <c r="J32" s="324"/>
      <c r="K32" s="324"/>
      <c r="L32" s="324"/>
      <c r="M32" s="324"/>
      <c r="N32" s="324"/>
    </row>
    <row r="33" spans="1:14" customFormat="1" ht="78" customHeight="1">
      <c r="A33" s="425">
        <v>22</v>
      </c>
      <c r="B33" s="408"/>
      <c r="C33" s="77"/>
      <c r="D33" s="78"/>
      <c r="E33" s="77"/>
      <c r="F33" s="80"/>
      <c r="H33" s="324"/>
      <c r="I33" s="324"/>
      <c r="J33" s="324"/>
      <c r="K33" s="324"/>
      <c r="L33" s="324"/>
      <c r="M33" s="324"/>
      <c r="N33" s="324"/>
    </row>
    <row r="34" spans="1:14" customFormat="1" ht="78" customHeight="1">
      <c r="A34" s="425">
        <v>23</v>
      </c>
      <c r="B34" s="408"/>
      <c r="C34" s="77"/>
      <c r="D34" s="78"/>
      <c r="E34" s="77"/>
      <c r="F34" s="80"/>
      <c r="H34" s="324"/>
      <c r="I34" s="324"/>
      <c r="J34" s="324"/>
      <c r="K34" s="324"/>
      <c r="L34" s="324"/>
      <c r="M34" s="324"/>
      <c r="N34" s="324"/>
    </row>
    <row r="35" spans="1:14" customFormat="1" ht="78" customHeight="1">
      <c r="A35" s="425">
        <v>24</v>
      </c>
      <c r="B35" s="408"/>
      <c r="C35" s="77"/>
      <c r="D35" s="78"/>
      <c r="E35" s="77"/>
      <c r="F35" s="80"/>
      <c r="H35" s="324"/>
      <c r="I35" s="324"/>
      <c r="J35" s="324"/>
      <c r="K35" s="324"/>
      <c r="L35" s="324"/>
      <c r="M35" s="324"/>
      <c r="N35" s="324"/>
    </row>
    <row r="36" spans="1:14" customFormat="1" ht="78" customHeight="1">
      <c r="A36" s="425">
        <v>25</v>
      </c>
      <c r="B36" s="408"/>
      <c r="C36" s="77"/>
      <c r="D36" s="81"/>
      <c r="E36" s="82"/>
      <c r="F36" s="69"/>
      <c r="H36" s="324"/>
      <c r="I36" s="324"/>
      <c r="J36" s="324"/>
      <c r="K36" s="324"/>
      <c r="L36" s="324"/>
      <c r="M36" s="324"/>
      <c r="N36" s="324"/>
    </row>
    <row r="37" spans="1:14" customFormat="1" ht="78" customHeight="1">
      <c r="A37" s="425">
        <v>26</v>
      </c>
      <c r="B37" s="408"/>
      <c r="C37" s="77"/>
      <c r="D37" s="78"/>
      <c r="E37" s="77"/>
      <c r="F37" s="80"/>
      <c r="H37" s="324"/>
      <c r="I37" s="324"/>
      <c r="J37" s="324"/>
      <c r="K37" s="324"/>
      <c r="L37" s="324"/>
      <c r="M37" s="324"/>
      <c r="N37" s="324"/>
    </row>
    <row r="38" spans="1:14" customFormat="1" ht="78" customHeight="1">
      <c r="A38" s="425">
        <v>27</v>
      </c>
      <c r="B38" s="408"/>
      <c r="C38" s="77"/>
      <c r="D38" s="78"/>
      <c r="E38" s="77"/>
      <c r="F38" s="80"/>
      <c r="H38" s="324"/>
      <c r="I38" s="324"/>
      <c r="J38" s="324"/>
      <c r="K38" s="324"/>
      <c r="L38" s="324"/>
      <c r="M38" s="324"/>
      <c r="N38" s="324"/>
    </row>
    <row r="39" spans="1:14" customFormat="1" ht="78" customHeight="1">
      <c r="A39" s="425">
        <v>28</v>
      </c>
      <c r="B39" s="408"/>
      <c r="C39" s="77"/>
      <c r="D39" s="78"/>
      <c r="E39" s="77"/>
      <c r="F39" s="80"/>
      <c r="H39" s="324"/>
      <c r="I39" s="324"/>
      <c r="J39" s="324"/>
      <c r="K39" s="324"/>
      <c r="L39" s="324"/>
      <c r="M39" s="324"/>
      <c r="N39" s="324"/>
    </row>
    <row r="40" spans="1:14" customFormat="1" ht="78" customHeight="1">
      <c r="A40" s="425">
        <v>29</v>
      </c>
      <c r="B40" s="408"/>
      <c r="C40" s="77"/>
      <c r="D40" s="78"/>
      <c r="E40" s="77"/>
      <c r="F40" s="80"/>
      <c r="H40" s="324"/>
      <c r="I40" s="324"/>
      <c r="J40" s="324"/>
      <c r="K40" s="324"/>
      <c r="L40" s="324"/>
      <c r="M40" s="324"/>
      <c r="N40" s="324"/>
    </row>
    <row r="41" spans="1:14" customFormat="1" ht="78" customHeight="1">
      <c r="A41" s="425">
        <v>30</v>
      </c>
      <c r="B41" s="408"/>
      <c r="C41" s="77"/>
      <c r="D41" s="78"/>
      <c r="E41" s="77"/>
      <c r="F41" s="80"/>
      <c r="H41" s="324"/>
      <c r="I41" s="324"/>
      <c r="J41" s="324"/>
      <c r="K41" s="324"/>
      <c r="L41" s="324"/>
      <c r="M41" s="324"/>
      <c r="N41" s="324"/>
    </row>
    <row r="42" spans="1:14" customFormat="1">
      <c r="B42" s="8"/>
      <c r="E42" s="11"/>
      <c r="F42" s="11"/>
      <c r="H42" s="324"/>
      <c r="I42" s="324"/>
      <c r="J42" s="324"/>
      <c r="K42" s="324"/>
      <c r="L42" s="324"/>
      <c r="M42" s="324"/>
      <c r="N42" s="324"/>
    </row>
  </sheetData>
  <sheetProtection algorithmName="SHA-512" hashValue="0b/70bobajP908o/6lFHAtZ3HRXyLqUGNOv5zOMhuvmaSrg/cya7p8i1+0FYL/6FyFqHhZUqvpK6D1dvVGL2ow==" saltValue="F5SrLxZwooPd0/LhSvGq/w==" spinCount="100000" sheet="1" formatCells="0" formatColumns="0" formatRows="0"/>
  <mergeCells count="23">
    <mergeCell ref="L2:M2"/>
    <mergeCell ref="I2:I9"/>
    <mergeCell ref="F1:F2"/>
    <mergeCell ref="E1:E2"/>
    <mergeCell ref="L9:M9"/>
    <mergeCell ref="L8:M8"/>
    <mergeCell ref="L7:M7"/>
    <mergeCell ref="L6:M6"/>
    <mergeCell ref="L5:M5"/>
    <mergeCell ref="L4:M4"/>
    <mergeCell ref="L3:M3"/>
    <mergeCell ref="D1:D2"/>
    <mergeCell ref="C1:C2"/>
    <mergeCell ref="B1:B2"/>
    <mergeCell ref="B9:F10"/>
    <mergeCell ref="J2:K2"/>
    <mergeCell ref="J5:K5"/>
    <mergeCell ref="J4:K4"/>
    <mergeCell ref="J9:K9"/>
    <mergeCell ref="J8:K8"/>
    <mergeCell ref="J7:K7"/>
    <mergeCell ref="J6:K6"/>
    <mergeCell ref="J3:K3"/>
  </mergeCells>
  <phoneticPr fontId="14"/>
  <dataValidations xWindow="115" yWindow="801" count="1">
    <dataValidation imeMode="off" allowBlank="1" showInputMessage="1" showErrorMessage="1" prompt="半角数字 YYYY/M/Dで入力" sqref="B12:B41" xr:uid="{F8271715-12EA-4A99-A0F1-979EE4CED6F2}"/>
  </dataValidations>
  <printOptions horizontalCentered="1"/>
  <pageMargins left="0.59055118110236227" right="0.59055118110236227" top="0.59055118110236227" bottom="0.39370078740157483" header="0.19685039370078741" footer="0.19685039370078741"/>
  <pageSetup paperSize="9" scale="81" fitToHeight="0" orientation="portrait" r:id="rId1"/>
  <headerFooter>
    <oddHeader>&amp;C&amp;10&amp;F</oddHeader>
    <oddFooter>&amp;C&amp;P/&amp;N</oddFooter>
  </headerFooter>
  <drawing r:id="rId2"/>
  <extLst>
    <ext xmlns:x14="http://schemas.microsoft.com/office/spreadsheetml/2009/9/main" uri="{CCE6A557-97BC-4b89-ADB6-D9C93CAAB3DF}">
      <x14:dataValidations xmlns:xm="http://schemas.microsoft.com/office/excel/2006/main" xWindow="115" yWindow="801" count="1">
        <x14:dataValidation type="list" allowBlank="1" showInputMessage="1" showErrorMessage="1" xr:uid="{D2AFD824-009D-4122-BB2F-4BE8E68C9B2F}">
          <x14:formula1>
            <xm:f>隠しシート!$B$193:$B$202</xm:f>
          </x14:formula1>
          <xm:sqref>C12:C41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08E438-00A8-453D-BFEC-B68955DC37E8}">
  <sheetPr codeName="Sheet10"/>
  <dimension ref="A1:K249"/>
  <sheetViews>
    <sheetView showGridLines="0" zoomScaleNormal="100" workbookViewId="0">
      <selection sqref="A1:E1"/>
    </sheetView>
  </sheetViews>
  <sheetFormatPr defaultColWidth="8.88671875" defaultRowHeight="14.25"/>
  <cols>
    <col min="1" max="1" width="3.5546875" style="2" bestFit="1" customWidth="1"/>
    <col min="2" max="2" width="27.88671875" style="2" bestFit="1" customWidth="1"/>
    <col min="3" max="3" width="24.109375" style="2" bestFit="1" customWidth="1"/>
    <col min="4" max="4" width="9.5546875" style="2" bestFit="1" customWidth="1"/>
    <col min="5" max="5" width="3.88671875" style="2" bestFit="1" customWidth="1"/>
    <col min="6" max="6" width="13.33203125" style="2" customWidth="1"/>
    <col min="7" max="7" width="4.33203125" style="2" customWidth="1"/>
    <col min="8" max="8" width="3.5546875" style="2" bestFit="1" customWidth="1"/>
    <col min="9" max="9" width="26.33203125" style="280" customWidth="1"/>
    <col min="10" max="10" width="24.109375" style="280" bestFit="1" customWidth="1"/>
    <col min="11" max="11" width="1.77734375" style="280" customWidth="1"/>
    <col min="12" max="16384" width="8.88671875" style="2"/>
  </cols>
  <sheetData>
    <row r="1" spans="1:11" ht="33.6" customHeight="1">
      <c r="A1" s="1178" t="s">
        <v>131</v>
      </c>
      <c r="B1" s="1178"/>
      <c r="C1" s="1178"/>
      <c r="D1" s="1178"/>
      <c r="E1" s="1178"/>
      <c r="F1" s="411"/>
      <c r="H1" s="1178" t="s">
        <v>569</v>
      </c>
      <c r="I1" s="1178"/>
      <c r="J1" s="1178"/>
      <c r="K1" s="411"/>
    </row>
    <row r="2" spans="1:11" ht="15" thickBot="1">
      <c r="A2" s="279"/>
      <c r="B2" s="279" t="s">
        <v>479</v>
      </c>
      <c r="C2" s="414" t="s">
        <v>80</v>
      </c>
      <c r="D2" s="279" t="s">
        <v>568</v>
      </c>
      <c r="E2" s="279" t="s">
        <v>91</v>
      </c>
      <c r="F2" s="279" t="s">
        <v>92</v>
      </c>
      <c r="H2" s="279"/>
      <c r="I2" s="279" t="s">
        <v>479</v>
      </c>
      <c r="J2" s="414" t="s">
        <v>80</v>
      </c>
    </row>
    <row r="3" spans="1:11" ht="15.75" customHeight="1" thickTop="1">
      <c r="A3" s="279"/>
      <c r="B3" s="412"/>
      <c r="C3" s="421" t="s">
        <v>23</v>
      </c>
      <c r="D3" s="285"/>
      <c r="E3" s="281"/>
      <c r="F3" s="279" t="str">
        <f>IF(E3&gt;0,"※選択してください："&amp;E3&amp;"人　","")</f>
        <v/>
      </c>
      <c r="H3" s="279">
        <v>1</v>
      </c>
      <c r="I3" s="412" t="s">
        <v>281</v>
      </c>
      <c r="J3" s="421" t="s">
        <v>281</v>
      </c>
    </row>
    <row r="4" spans="1:11">
      <c r="A4" s="279">
        <v>1</v>
      </c>
      <c r="B4" s="412" t="s">
        <v>283</v>
      </c>
      <c r="C4" s="422" t="s">
        <v>283</v>
      </c>
      <c r="D4" s="413">
        <v>180000</v>
      </c>
      <c r="E4" s="281">
        <f ca="1">SUMIF('3)招へい者4)受入れ体制'!$B$5:$L$29,C4,'3)招へい者4)受入れ体制'!$L$5:$L$29)</f>
        <v>0</v>
      </c>
      <c r="F4" s="279" t="str">
        <f ca="1">IF(E4&gt;0,C4&amp;"："&amp;E4&amp;"人","")</f>
        <v/>
      </c>
      <c r="H4" s="279">
        <v>2</v>
      </c>
      <c r="I4" s="412" t="s">
        <v>282</v>
      </c>
      <c r="J4" s="422" t="s">
        <v>282</v>
      </c>
    </row>
    <row r="5" spans="1:11">
      <c r="A5" s="279">
        <v>2</v>
      </c>
      <c r="B5" s="412" t="s">
        <v>284</v>
      </c>
      <c r="C5" s="422" t="s">
        <v>284</v>
      </c>
      <c r="D5" s="413">
        <v>240000</v>
      </c>
      <c r="E5" s="281">
        <f ca="1">SUMIF('3)招へい者4)受入れ体制'!$B$5:$L$29,C5,'3)招へい者4)受入れ体制'!$L$5:$L$29)</f>
        <v>0</v>
      </c>
      <c r="F5" s="279" t="str">
        <f t="shared" ref="F5:F68" ca="1" si="0">IF(E5&gt;0,C5&amp;"："&amp;E5&amp;"人","")</f>
        <v/>
      </c>
      <c r="H5" s="279">
        <v>3</v>
      </c>
      <c r="I5" s="412" t="s">
        <v>283</v>
      </c>
      <c r="J5" s="422" t="s">
        <v>283</v>
      </c>
    </row>
    <row r="6" spans="1:11">
      <c r="A6" s="279">
        <v>3</v>
      </c>
      <c r="B6" s="412" t="s">
        <v>570</v>
      </c>
      <c r="C6" s="422" t="s">
        <v>287</v>
      </c>
      <c r="D6" s="413">
        <v>240000</v>
      </c>
      <c r="E6" s="281">
        <f ca="1">SUMIF('3)招へい者4)受入れ体制'!$B$5:$L$29,C6,'3)招へい者4)受入れ体制'!$L$5:$L$29)</f>
        <v>0</v>
      </c>
      <c r="F6" s="279" t="str">
        <f t="shared" ca="1" si="0"/>
        <v/>
      </c>
      <c r="H6" s="279">
        <v>4</v>
      </c>
      <c r="I6" s="412" t="s">
        <v>284</v>
      </c>
      <c r="J6" s="422" t="s">
        <v>284</v>
      </c>
    </row>
    <row r="7" spans="1:11">
      <c r="A7" s="279">
        <v>4</v>
      </c>
      <c r="B7" s="412" t="s">
        <v>288</v>
      </c>
      <c r="C7" s="422" t="s">
        <v>288</v>
      </c>
      <c r="D7" s="413">
        <v>240000</v>
      </c>
      <c r="E7" s="281">
        <f ca="1">SUMIF('3)招へい者4)受入れ体制'!$B$5:$L$29,C7,'3)招へい者4)受入れ体制'!$L$5:$L$29)</f>
        <v>0</v>
      </c>
      <c r="F7" s="279" t="str">
        <f t="shared" ca="1" si="0"/>
        <v/>
      </c>
      <c r="H7" s="279">
        <v>5</v>
      </c>
      <c r="I7" s="412" t="s">
        <v>285</v>
      </c>
      <c r="J7" s="422" t="s">
        <v>505</v>
      </c>
    </row>
    <row r="8" spans="1:11">
      <c r="A8" s="279">
        <v>5</v>
      </c>
      <c r="B8" s="412" t="s">
        <v>289</v>
      </c>
      <c r="C8" s="422" t="s">
        <v>289</v>
      </c>
      <c r="D8" s="413">
        <v>360000</v>
      </c>
      <c r="E8" s="281">
        <f ca="1">SUMIF('3)招へい者4)受入れ体制'!$B$5:$L$29,C8,'3)招へい者4)受入れ体制'!$L$5:$L$29)</f>
        <v>0</v>
      </c>
      <c r="F8" s="279" t="str">
        <f t="shared" ca="1" si="0"/>
        <v/>
      </c>
      <c r="H8" s="279">
        <v>6</v>
      </c>
      <c r="I8" s="412" t="s">
        <v>286</v>
      </c>
      <c r="J8" s="422" t="s">
        <v>287</v>
      </c>
    </row>
    <row r="9" spans="1:11">
      <c r="A9" s="279">
        <v>6</v>
      </c>
      <c r="B9" s="412" t="s">
        <v>291</v>
      </c>
      <c r="C9" s="422" t="s">
        <v>291</v>
      </c>
      <c r="D9" s="413">
        <v>240000</v>
      </c>
      <c r="E9" s="281">
        <f ca="1">SUMIF('3)招へい者4)受入れ体制'!$B$5:$L$29,C9,'3)招へい者4)受入れ体制'!$L$5:$L$29)</f>
        <v>0</v>
      </c>
      <c r="F9" s="279" t="str">
        <f t="shared" ca="1" si="0"/>
        <v/>
      </c>
      <c r="H9" s="279">
        <v>7</v>
      </c>
      <c r="I9" s="412" t="s">
        <v>288</v>
      </c>
      <c r="J9" s="422" t="s">
        <v>288</v>
      </c>
    </row>
    <row r="10" spans="1:11">
      <c r="A10" s="279">
        <v>7</v>
      </c>
      <c r="B10" s="412" t="s">
        <v>292</v>
      </c>
      <c r="C10" s="422" t="s">
        <v>292</v>
      </c>
      <c r="D10" s="413">
        <v>400000</v>
      </c>
      <c r="E10" s="281">
        <f ca="1">SUMIF('3)招へい者4)受入れ体制'!$B$5:$L$29,C10,'3)招へい者4)受入れ体制'!$L$5:$L$29)</f>
        <v>0</v>
      </c>
      <c r="F10" s="279" t="str">
        <f t="shared" ca="1" si="0"/>
        <v/>
      </c>
      <c r="H10" s="279">
        <v>8</v>
      </c>
      <c r="I10" s="412" t="s">
        <v>289</v>
      </c>
      <c r="J10" s="422" t="s">
        <v>289</v>
      </c>
    </row>
    <row r="11" spans="1:11">
      <c r="A11" s="279">
        <v>8</v>
      </c>
      <c r="B11" s="412" t="s">
        <v>293</v>
      </c>
      <c r="C11" s="422" t="s">
        <v>293</v>
      </c>
      <c r="D11" s="413">
        <v>300000</v>
      </c>
      <c r="E11" s="281">
        <f ca="1">SUMIF('3)招へい者4)受入れ体制'!$B$5:$L$29,C11,'3)招へい者4)受入れ体制'!$L$5:$L$29)</f>
        <v>0</v>
      </c>
      <c r="F11" s="279" t="str">
        <f t="shared" ca="1" si="0"/>
        <v/>
      </c>
      <c r="H11" s="279">
        <v>9</v>
      </c>
      <c r="I11" s="412" t="s">
        <v>290</v>
      </c>
      <c r="J11" s="422" t="s">
        <v>290</v>
      </c>
    </row>
    <row r="12" spans="1:11">
      <c r="A12" s="279">
        <v>9</v>
      </c>
      <c r="B12" s="412" t="s">
        <v>295</v>
      </c>
      <c r="C12" s="422" t="s">
        <v>295</v>
      </c>
      <c r="D12" s="413">
        <v>300000</v>
      </c>
      <c r="E12" s="281">
        <f ca="1">SUMIF('3)招へい者4)受入れ体制'!$B$5:$L$29,C12,'3)招へい者4)受入れ体制'!$L$5:$L$29)</f>
        <v>0</v>
      </c>
      <c r="F12" s="279" t="str">
        <f t="shared" ca="1" si="0"/>
        <v/>
      </c>
      <c r="H12" s="279">
        <v>10</v>
      </c>
      <c r="I12" s="412" t="s">
        <v>291</v>
      </c>
      <c r="J12" s="422" t="s">
        <v>291</v>
      </c>
    </row>
    <row r="13" spans="1:11">
      <c r="A13" s="279">
        <v>10</v>
      </c>
      <c r="B13" s="412" t="s">
        <v>296</v>
      </c>
      <c r="C13" s="422" t="s">
        <v>296</v>
      </c>
      <c r="D13" s="413">
        <v>240000</v>
      </c>
      <c r="E13" s="281">
        <f ca="1">SUMIF('3)招へい者4)受入れ体制'!$B$5:$L$29,C13,'3)招へい者4)受入れ体制'!$L$5:$L$29)</f>
        <v>0</v>
      </c>
      <c r="F13" s="279" t="str">
        <f t="shared" ca="1" si="0"/>
        <v/>
      </c>
      <c r="H13" s="279">
        <v>11</v>
      </c>
      <c r="I13" s="412" t="s">
        <v>292</v>
      </c>
      <c r="J13" s="422" t="s">
        <v>292</v>
      </c>
    </row>
    <row r="14" spans="1:11">
      <c r="A14" s="279">
        <v>11</v>
      </c>
      <c r="B14" s="412" t="s">
        <v>298</v>
      </c>
      <c r="C14" s="422" t="s">
        <v>298</v>
      </c>
      <c r="D14" s="413">
        <v>300000</v>
      </c>
      <c r="E14" s="281">
        <f ca="1">SUMIF('3)招へい者4)受入れ体制'!$B$5:$L$29,C14,'3)招へい者4)受入れ体制'!$L$5:$L$29)</f>
        <v>0</v>
      </c>
      <c r="F14" s="279" t="str">
        <f t="shared" ca="1" si="0"/>
        <v/>
      </c>
      <c r="H14" s="279">
        <v>12</v>
      </c>
      <c r="I14" s="412" t="s">
        <v>293</v>
      </c>
      <c r="J14" s="422" t="s">
        <v>293</v>
      </c>
    </row>
    <row r="15" spans="1:11">
      <c r="A15" s="279">
        <v>12</v>
      </c>
      <c r="B15" s="412" t="s">
        <v>299</v>
      </c>
      <c r="C15" s="422" t="s">
        <v>299</v>
      </c>
      <c r="D15" s="413">
        <v>300000</v>
      </c>
      <c r="E15" s="281">
        <f ca="1">SUMIF('3)招へい者4)受入れ体制'!$B$5:$L$29,C15,'3)招へい者4)受入れ体制'!$L$5:$L$29)</f>
        <v>0</v>
      </c>
      <c r="F15" s="279" t="str">
        <f t="shared" ca="1" si="0"/>
        <v/>
      </c>
      <c r="H15" s="279">
        <v>13</v>
      </c>
      <c r="I15" s="412" t="s">
        <v>294</v>
      </c>
      <c r="J15" s="422" t="s">
        <v>294</v>
      </c>
    </row>
    <row r="16" spans="1:11">
      <c r="A16" s="279">
        <v>13</v>
      </c>
      <c r="B16" s="412" t="s">
        <v>300</v>
      </c>
      <c r="C16" s="422" t="s">
        <v>300</v>
      </c>
      <c r="D16" s="413">
        <v>180000</v>
      </c>
      <c r="E16" s="281">
        <f ca="1">SUMIF('3)招へい者4)受入れ体制'!$B$5:$L$29,C16,'3)招へい者4)受入れ体制'!$L$5:$L$29)</f>
        <v>0</v>
      </c>
      <c r="F16" s="279" t="str">
        <f t="shared" ca="1" si="0"/>
        <v/>
      </c>
      <c r="H16" s="279">
        <v>14</v>
      </c>
      <c r="I16" s="412" t="s">
        <v>295</v>
      </c>
      <c r="J16" s="422" t="s">
        <v>295</v>
      </c>
    </row>
    <row r="17" spans="1:10">
      <c r="A17" s="279">
        <v>14</v>
      </c>
      <c r="B17" s="412" t="s">
        <v>301</v>
      </c>
      <c r="C17" s="422" t="s">
        <v>301</v>
      </c>
      <c r="D17" s="413">
        <v>180000</v>
      </c>
      <c r="E17" s="281">
        <f ca="1">SUMIF('3)招へい者4)受入れ体制'!$B$5:$L$29,C17,'3)招へい者4)受入れ体制'!$L$5:$L$29)</f>
        <v>0</v>
      </c>
      <c r="F17" s="279" t="str">
        <f t="shared" ca="1" si="0"/>
        <v/>
      </c>
      <c r="H17" s="279">
        <v>15</v>
      </c>
      <c r="I17" s="412" t="s">
        <v>296</v>
      </c>
      <c r="J17" s="422" t="s">
        <v>296</v>
      </c>
    </row>
    <row r="18" spans="1:10">
      <c r="A18" s="279">
        <v>15</v>
      </c>
      <c r="B18" s="412" t="s">
        <v>302</v>
      </c>
      <c r="C18" s="422" t="s">
        <v>302</v>
      </c>
      <c r="D18" s="413">
        <v>360000</v>
      </c>
      <c r="E18" s="281">
        <f ca="1">SUMIF('3)招へい者4)受入れ体制'!$B$5:$L$29,C18,'3)招へい者4)受入れ体制'!$L$5:$L$29)</f>
        <v>0</v>
      </c>
      <c r="F18" s="279" t="str">
        <f t="shared" ca="1" si="0"/>
        <v/>
      </c>
      <c r="H18" s="279">
        <v>16</v>
      </c>
      <c r="I18" s="412" t="s">
        <v>297</v>
      </c>
      <c r="J18" s="422" t="s">
        <v>297</v>
      </c>
    </row>
    <row r="19" spans="1:10">
      <c r="A19" s="279">
        <v>16</v>
      </c>
      <c r="B19" s="412" t="s">
        <v>303</v>
      </c>
      <c r="C19" s="422" t="s">
        <v>303</v>
      </c>
      <c r="D19" s="413">
        <v>300000</v>
      </c>
      <c r="E19" s="281">
        <f ca="1">SUMIF('3)招へい者4)受入れ体制'!$B$5:$L$29,C19,'3)招へい者4)受入れ体制'!$L$5:$L$29)</f>
        <v>0</v>
      </c>
      <c r="F19" s="279" t="str">
        <f t="shared" ca="1" si="0"/>
        <v/>
      </c>
      <c r="H19" s="279">
        <v>17</v>
      </c>
      <c r="I19" s="412" t="s">
        <v>298</v>
      </c>
      <c r="J19" s="422" t="s">
        <v>298</v>
      </c>
    </row>
    <row r="20" spans="1:10">
      <c r="A20" s="279">
        <v>17</v>
      </c>
      <c r="B20" s="412" t="s">
        <v>304</v>
      </c>
      <c r="C20" s="422" t="s">
        <v>304</v>
      </c>
      <c r="D20" s="413">
        <v>240000</v>
      </c>
      <c r="E20" s="281">
        <f ca="1">SUMIF('3)招へい者4)受入れ体制'!$B$5:$L$29,C20,'3)招へい者4)受入れ体制'!$L$5:$L$29)</f>
        <v>0</v>
      </c>
      <c r="F20" s="279" t="str">
        <f t="shared" ca="1" si="0"/>
        <v/>
      </c>
      <c r="H20" s="279">
        <v>18</v>
      </c>
      <c r="I20" s="412" t="s">
        <v>299</v>
      </c>
      <c r="J20" s="422" t="s">
        <v>299</v>
      </c>
    </row>
    <row r="21" spans="1:10">
      <c r="A21" s="279">
        <v>18</v>
      </c>
      <c r="B21" s="412" t="s">
        <v>305</v>
      </c>
      <c r="C21" s="422" t="s">
        <v>305</v>
      </c>
      <c r="D21" s="413">
        <v>300000</v>
      </c>
      <c r="E21" s="281">
        <f ca="1">SUMIF('3)招へい者4)受入れ体制'!$B$5:$L$29,C21,'3)招へい者4)受入れ体制'!$L$5:$L$29)</f>
        <v>0</v>
      </c>
      <c r="F21" s="279" t="str">
        <f t="shared" ca="1" si="0"/>
        <v/>
      </c>
      <c r="H21" s="279">
        <v>19</v>
      </c>
      <c r="I21" s="412" t="s">
        <v>300</v>
      </c>
      <c r="J21" s="422" t="s">
        <v>300</v>
      </c>
    </row>
    <row r="22" spans="1:10">
      <c r="A22" s="279">
        <v>19</v>
      </c>
      <c r="B22" s="412" t="s">
        <v>308</v>
      </c>
      <c r="C22" s="422" t="s">
        <v>308</v>
      </c>
      <c r="D22" s="413">
        <v>300000</v>
      </c>
      <c r="E22" s="281">
        <f ca="1">SUMIF('3)招へい者4)受入れ体制'!$B$5:$L$29,C22,'3)招へい者4)受入れ体制'!$L$5:$L$29)</f>
        <v>0</v>
      </c>
      <c r="F22" s="279" t="str">
        <f t="shared" ca="1" si="0"/>
        <v/>
      </c>
      <c r="H22" s="279">
        <v>20</v>
      </c>
      <c r="I22" s="412" t="s">
        <v>301</v>
      </c>
      <c r="J22" s="422" t="s">
        <v>301</v>
      </c>
    </row>
    <row r="23" spans="1:10">
      <c r="A23" s="279">
        <v>20</v>
      </c>
      <c r="B23" s="412" t="s">
        <v>309</v>
      </c>
      <c r="C23" s="422" t="s">
        <v>309</v>
      </c>
      <c r="D23" s="413">
        <v>240000</v>
      </c>
      <c r="E23" s="281">
        <f ca="1">SUMIF('3)招へい者4)受入れ体制'!$B$5:$L$29,C23,'3)招へい者4)受入れ体制'!$L$5:$L$29)</f>
        <v>0</v>
      </c>
      <c r="F23" s="279" t="str">
        <f t="shared" ca="1" si="0"/>
        <v/>
      </c>
      <c r="H23" s="279">
        <v>21</v>
      </c>
      <c r="I23" s="412" t="s">
        <v>302</v>
      </c>
      <c r="J23" s="422" t="s">
        <v>302</v>
      </c>
    </row>
    <row r="24" spans="1:10">
      <c r="A24" s="279">
        <v>21</v>
      </c>
      <c r="B24" s="412" t="s">
        <v>311</v>
      </c>
      <c r="C24" s="422" t="s">
        <v>311</v>
      </c>
      <c r="D24" s="413">
        <v>300000</v>
      </c>
      <c r="E24" s="281">
        <f ca="1">SUMIF('3)招へい者4)受入れ体制'!$B$5:$L$29,C24,'3)招へい者4)受入れ体制'!$L$5:$L$29)</f>
        <v>0</v>
      </c>
      <c r="F24" s="279" t="str">
        <f t="shared" ca="1" si="0"/>
        <v/>
      </c>
      <c r="H24" s="279">
        <v>22</v>
      </c>
      <c r="I24" s="412" t="s">
        <v>303</v>
      </c>
      <c r="J24" s="422" t="s">
        <v>303</v>
      </c>
    </row>
    <row r="25" spans="1:10">
      <c r="A25" s="279">
        <v>22</v>
      </c>
      <c r="B25" s="412" t="s">
        <v>312</v>
      </c>
      <c r="C25" s="422" t="s">
        <v>312</v>
      </c>
      <c r="D25" s="413">
        <v>240000</v>
      </c>
      <c r="E25" s="281">
        <f ca="1">SUMIF('3)招へい者4)受入れ体制'!$B$5:$L$29,C25,'3)招へい者4)受入れ体制'!$L$5:$L$29)</f>
        <v>0</v>
      </c>
      <c r="F25" s="279" t="str">
        <f t="shared" ca="1" si="0"/>
        <v/>
      </c>
      <c r="H25" s="279">
        <v>23</v>
      </c>
      <c r="I25" s="412" t="s">
        <v>304</v>
      </c>
      <c r="J25" s="422" t="s">
        <v>304</v>
      </c>
    </row>
    <row r="26" spans="1:10">
      <c r="A26" s="279">
        <v>23</v>
      </c>
      <c r="B26" s="412" t="s">
        <v>313</v>
      </c>
      <c r="C26" s="422" t="s">
        <v>313</v>
      </c>
      <c r="D26" s="413">
        <v>240000</v>
      </c>
      <c r="E26" s="281">
        <f ca="1">SUMIF('3)招へい者4)受入れ体制'!$B$5:$L$29,C26,'3)招へい者4)受入れ体制'!$L$5:$L$29)</f>
        <v>0</v>
      </c>
      <c r="F26" s="279" t="str">
        <f t="shared" ca="1" si="0"/>
        <v/>
      </c>
      <c r="H26" s="279">
        <v>24</v>
      </c>
      <c r="I26" s="412" t="s">
        <v>305</v>
      </c>
      <c r="J26" s="422" t="s">
        <v>305</v>
      </c>
    </row>
    <row r="27" spans="1:10">
      <c r="A27" s="279">
        <v>24</v>
      </c>
      <c r="B27" s="412" t="s">
        <v>314</v>
      </c>
      <c r="C27" s="422" t="s">
        <v>314</v>
      </c>
      <c r="D27" s="413">
        <v>300000</v>
      </c>
      <c r="E27" s="281">
        <f ca="1">SUMIF('3)招へい者4)受入れ体制'!$B$5:$L$29,C27,'3)招へい者4)受入れ体制'!$L$5:$L$29)</f>
        <v>0</v>
      </c>
      <c r="F27" s="279" t="str">
        <f t="shared" ca="1" si="0"/>
        <v/>
      </c>
      <c r="H27" s="279">
        <v>25</v>
      </c>
      <c r="I27" s="412" t="s">
        <v>306</v>
      </c>
      <c r="J27" s="422" t="s">
        <v>307</v>
      </c>
    </row>
    <row r="28" spans="1:10">
      <c r="A28" s="279">
        <v>25</v>
      </c>
      <c r="B28" s="412" t="s">
        <v>317</v>
      </c>
      <c r="C28" s="422" t="s">
        <v>317</v>
      </c>
      <c r="D28" s="413">
        <v>240000</v>
      </c>
      <c r="E28" s="281">
        <f ca="1">SUMIF('3)招へい者4)受入れ体制'!$B$5:$L$29,C28,'3)招へい者4)受入れ体制'!$L$5:$L$29)</f>
        <v>0</v>
      </c>
      <c r="F28" s="279" t="str">
        <f t="shared" ca="1" si="0"/>
        <v/>
      </c>
      <c r="H28" s="279">
        <v>26</v>
      </c>
      <c r="I28" s="412" t="s">
        <v>308</v>
      </c>
      <c r="J28" s="422" t="s">
        <v>308</v>
      </c>
    </row>
    <row r="29" spans="1:10">
      <c r="A29" s="279">
        <v>26</v>
      </c>
      <c r="B29" s="412" t="s">
        <v>319</v>
      </c>
      <c r="C29" s="422" t="s">
        <v>319</v>
      </c>
      <c r="D29" s="413">
        <v>400000</v>
      </c>
      <c r="E29" s="281">
        <f ca="1">SUMIF('3)招へい者4)受入れ体制'!$B$5:$L$29,C29,'3)招へい者4)受入れ体制'!$L$5:$L$29)</f>
        <v>0</v>
      </c>
      <c r="F29" s="279" t="str">
        <f t="shared" ca="1" si="0"/>
        <v/>
      </c>
      <c r="H29" s="279">
        <v>27</v>
      </c>
      <c r="I29" s="412" t="s">
        <v>309</v>
      </c>
      <c r="J29" s="422" t="s">
        <v>309</v>
      </c>
    </row>
    <row r="30" spans="1:10">
      <c r="A30" s="279">
        <v>27</v>
      </c>
      <c r="B30" s="412" t="s">
        <v>320</v>
      </c>
      <c r="C30" s="422" t="s">
        <v>320</v>
      </c>
      <c r="D30" s="413">
        <v>300000</v>
      </c>
      <c r="E30" s="281">
        <f ca="1">SUMIF('3)招へい者4)受入れ体制'!$B$5:$L$29,C30,'3)招へい者4)受入れ体制'!$L$5:$L$29)</f>
        <v>0</v>
      </c>
      <c r="F30" s="279" t="str">
        <f t="shared" ca="1" si="0"/>
        <v/>
      </c>
      <c r="H30" s="279">
        <v>28</v>
      </c>
      <c r="I30" s="412" t="s">
        <v>310</v>
      </c>
      <c r="J30" s="422" t="s">
        <v>310</v>
      </c>
    </row>
    <row r="31" spans="1:10">
      <c r="A31" s="279">
        <v>28</v>
      </c>
      <c r="B31" s="412" t="s">
        <v>321</v>
      </c>
      <c r="C31" s="422" t="s">
        <v>321</v>
      </c>
      <c r="D31" s="413">
        <v>360000</v>
      </c>
      <c r="E31" s="281">
        <f ca="1">SUMIF('3)招へい者4)受入れ体制'!$B$5:$L$29,C31,'3)招へい者4)受入れ体制'!$L$5:$L$29)</f>
        <v>0</v>
      </c>
      <c r="F31" s="279" t="str">
        <f t="shared" ca="1" si="0"/>
        <v/>
      </c>
      <c r="H31" s="279">
        <v>29</v>
      </c>
      <c r="I31" s="412" t="s">
        <v>311</v>
      </c>
      <c r="J31" s="422" t="s">
        <v>311</v>
      </c>
    </row>
    <row r="32" spans="1:10">
      <c r="A32" s="279">
        <v>29</v>
      </c>
      <c r="B32" s="412" t="s">
        <v>322</v>
      </c>
      <c r="C32" s="422" t="s">
        <v>322</v>
      </c>
      <c r="D32" s="413">
        <v>240000</v>
      </c>
      <c r="E32" s="281">
        <f ca="1">SUMIF('3)招へい者4)受入れ体制'!$B$5:$L$29,C32,'3)招へい者4)受入れ体制'!$L$5:$L$29)</f>
        <v>0</v>
      </c>
      <c r="F32" s="279" t="str">
        <f t="shared" ca="1" si="0"/>
        <v/>
      </c>
      <c r="H32" s="279">
        <v>30</v>
      </c>
      <c r="I32" s="412" t="s">
        <v>312</v>
      </c>
      <c r="J32" s="422" t="s">
        <v>312</v>
      </c>
    </row>
    <row r="33" spans="1:10">
      <c r="A33" s="279">
        <v>30</v>
      </c>
      <c r="B33" s="412" t="s">
        <v>323</v>
      </c>
      <c r="C33" s="422" t="s">
        <v>323</v>
      </c>
      <c r="D33" s="413">
        <v>240000</v>
      </c>
      <c r="E33" s="281">
        <f ca="1">SUMIF('3)招へい者4)受入れ体制'!$B$5:$L$29,C33,'3)招へい者4)受入れ体制'!$L$5:$L$29)</f>
        <v>0</v>
      </c>
      <c r="F33" s="279" t="str">
        <f t="shared" ca="1" si="0"/>
        <v/>
      </c>
      <c r="H33" s="279">
        <v>31</v>
      </c>
      <c r="I33" s="412" t="s">
        <v>313</v>
      </c>
      <c r="J33" s="422" t="s">
        <v>313</v>
      </c>
    </row>
    <row r="34" spans="1:10">
      <c r="A34" s="279">
        <v>31</v>
      </c>
      <c r="B34" s="412" t="s">
        <v>325</v>
      </c>
      <c r="C34" s="422" t="s">
        <v>325</v>
      </c>
      <c r="D34" s="413">
        <v>360000</v>
      </c>
      <c r="E34" s="281">
        <f ca="1">SUMIF('3)招へい者4)受入れ体制'!$B$5:$L$29,C34,'3)招へい者4)受入れ体制'!$L$5:$L$29)</f>
        <v>0</v>
      </c>
      <c r="F34" s="279" t="str">
        <f t="shared" ca="1" si="0"/>
        <v/>
      </c>
      <c r="H34" s="279">
        <v>32</v>
      </c>
      <c r="I34" s="412" t="s">
        <v>314</v>
      </c>
      <c r="J34" s="422" t="s">
        <v>314</v>
      </c>
    </row>
    <row r="35" spans="1:10">
      <c r="A35" s="279">
        <v>32</v>
      </c>
      <c r="B35" s="412" t="s">
        <v>326</v>
      </c>
      <c r="C35" s="422" t="s">
        <v>326</v>
      </c>
      <c r="D35" s="413">
        <v>360000</v>
      </c>
      <c r="E35" s="281">
        <f ca="1">SUMIF('3)招へい者4)受入れ体制'!$B$5:$L$29,C35,'3)招へい者4)受入れ体制'!$L$5:$L$29)</f>
        <v>0</v>
      </c>
      <c r="F35" s="279" t="str">
        <f t="shared" ca="1" si="0"/>
        <v/>
      </c>
      <c r="H35" s="279">
        <v>33</v>
      </c>
      <c r="I35" s="412" t="s">
        <v>315</v>
      </c>
      <c r="J35" s="422" t="s">
        <v>315</v>
      </c>
    </row>
    <row r="36" spans="1:10">
      <c r="A36" s="279">
        <v>33</v>
      </c>
      <c r="B36" s="412" t="s">
        <v>498</v>
      </c>
      <c r="C36" s="422" t="s">
        <v>571</v>
      </c>
      <c r="D36" s="413">
        <v>84000</v>
      </c>
      <c r="E36" s="281">
        <f ca="1">SUMIF('3)招へい者4)受入れ体制'!$B$5:$L$29,C36,'3)招へい者4)受入れ体制'!$L$5:$L$29)</f>
        <v>0</v>
      </c>
      <c r="F36" s="279" t="str">
        <f t="shared" ca="1" si="0"/>
        <v/>
      </c>
      <c r="H36" s="279">
        <v>34</v>
      </c>
      <c r="I36" s="412" t="s">
        <v>316</v>
      </c>
      <c r="J36" s="422" t="s">
        <v>316</v>
      </c>
    </row>
    <row r="37" spans="1:10">
      <c r="A37" s="279">
        <v>34</v>
      </c>
      <c r="B37" s="412" t="s">
        <v>327</v>
      </c>
      <c r="C37" s="422" t="s">
        <v>327</v>
      </c>
      <c r="D37" s="413">
        <v>300000</v>
      </c>
      <c r="E37" s="281">
        <f ca="1">SUMIF('3)招へい者4)受入れ体制'!$B$5:$L$29,C37,'3)招へい者4)受入れ体制'!$L$5:$L$29)</f>
        <v>0</v>
      </c>
      <c r="F37" s="279" t="str">
        <f t="shared" ca="1" si="0"/>
        <v/>
      </c>
      <c r="H37" s="279">
        <v>35</v>
      </c>
      <c r="I37" s="412" t="s">
        <v>317</v>
      </c>
      <c r="J37" s="422" t="s">
        <v>317</v>
      </c>
    </row>
    <row r="38" spans="1:10">
      <c r="A38" s="279">
        <v>35</v>
      </c>
      <c r="B38" s="412" t="s">
        <v>328</v>
      </c>
      <c r="C38" s="422" t="s">
        <v>328</v>
      </c>
      <c r="D38" s="413">
        <v>180000</v>
      </c>
      <c r="E38" s="281">
        <f ca="1">SUMIF('3)招へい者4)受入れ体制'!$B$5:$L$29,C38,'3)招へい者4)受入れ体制'!$L$5:$L$29)</f>
        <v>0</v>
      </c>
      <c r="F38" s="279" t="str">
        <f t="shared" ca="1" si="0"/>
        <v/>
      </c>
      <c r="H38" s="279">
        <v>36</v>
      </c>
      <c r="I38" s="412" t="s">
        <v>318</v>
      </c>
      <c r="J38" s="422" t="s">
        <v>318</v>
      </c>
    </row>
    <row r="39" spans="1:10">
      <c r="A39" s="279">
        <v>36</v>
      </c>
      <c r="B39" s="412" t="s">
        <v>331</v>
      </c>
      <c r="C39" s="422" t="s">
        <v>331</v>
      </c>
      <c r="D39" s="413">
        <v>300000</v>
      </c>
      <c r="E39" s="281">
        <f ca="1">SUMIF('3)招へい者4)受入れ体制'!$B$5:$L$29,C39,'3)招へい者4)受入れ体制'!$L$5:$L$29)</f>
        <v>0</v>
      </c>
      <c r="F39" s="279" t="str">
        <f t="shared" ca="1" si="0"/>
        <v/>
      </c>
      <c r="H39" s="279">
        <v>37</v>
      </c>
      <c r="I39" s="412" t="s">
        <v>319</v>
      </c>
      <c r="J39" s="422" t="s">
        <v>319</v>
      </c>
    </row>
    <row r="40" spans="1:10">
      <c r="A40" s="279">
        <v>37</v>
      </c>
      <c r="B40" s="412" t="s">
        <v>332</v>
      </c>
      <c r="C40" s="422" t="s">
        <v>332</v>
      </c>
      <c r="D40" s="413">
        <v>360000</v>
      </c>
      <c r="E40" s="281">
        <f ca="1">SUMIF('3)招へい者4)受入れ体制'!$B$5:$L$29,C40,'3)招へい者4)受入れ体制'!$L$5:$L$29)</f>
        <v>0</v>
      </c>
      <c r="F40" s="279" t="str">
        <f t="shared" ca="1" si="0"/>
        <v/>
      </c>
      <c r="H40" s="279">
        <v>38</v>
      </c>
      <c r="I40" s="412" t="s">
        <v>320</v>
      </c>
      <c r="J40" s="422" t="s">
        <v>320</v>
      </c>
    </row>
    <row r="41" spans="1:10">
      <c r="A41" s="279">
        <v>38</v>
      </c>
      <c r="B41" s="412" t="s">
        <v>334</v>
      </c>
      <c r="C41" s="422" t="s">
        <v>334</v>
      </c>
      <c r="D41" s="413">
        <v>480000</v>
      </c>
      <c r="E41" s="281">
        <f ca="1">SUMIF('3)招へい者4)受入れ体制'!$B$5:$L$29,C41,'3)招へい者4)受入れ体制'!$L$5:$L$29)</f>
        <v>0</v>
      </c>
      <c r="F41" s="279" t="str">
        <f t="shared" ca="1" si="0"/>
        <v/>
      </c>
      <c r="H41" s="279">
        <v>39</v>
      </c>
      <c r="I41" s="412" t="s">
        <v>321</v>
      </c>
      <c r="J41" s="422" t="s">
        <v>321</v>
      </c>
    </row>
    <row r="42" spans="1:10">
      <c r="A42" s="279">
        <v>39</v>
      </c>
      <c r="B42" s="412" t="s">
        <v>336</v>
      </c>
      <c r="C42" s="422" t="s">
        <v>336</v>
      </c>
      <c r="D42" s="413">
        <v>420000</v>
      </c>
      <c r="E42" s="281">
        <f ca="1">SUMIF('3)招へい者4)受入れ体制'!$B$5:$L$29,C42,'3)招へい者4)受入れ体制'!$L$5:$L$29)</f>
        <v>0</v>
      </c>
      <c r="F42" s="279" t="str">
        <f t="shared" ca="1" si="0"/>
        <v/>
      </c>
      <c r="H42" s="279">
        <v>40</v>
      </c>
      <c r="I42" s="412" t="s">
        <v>322</v>
      </c>
      <c r="J42" s="422" t="s">
        <v>322</v>
      </c>
    </row>
    <row r="43" spans="1:10">
      <c r="A43" s="279">
        <v>40</v>
      </c>
      <c r="B43" s="412" t="s">
        <v>337</v>
      </c>
      <c r="C43" s="422" t="s">
        <v>337</v>
      </c>
      <c r="D43" s="413">
        <v>240000</v>
      </c>
      <c r="E43" s="281">
        <f ca="1">SUMIF('3)招へい者4)受入れ体制'!$B$5:$L$29,C43,'3)招へい者4)受入れ体制'!$L$5:$L$29)</f>
        <v>0</v>
      </c>
      <c r="F43" s="279" t="str">
        <f t="shared" ca="1" si="0"/>
        <v/>
      </c>
      <c r="H43" s="279">
        <v>41</v>
      </c>
      <c r="I43" s="412" t="s">
        <v>323</v>
      </c>
      <c r="J43" s="422" t="s">
        <v>323</v>
      </c>
    </row>
    <row r="44" spans="1:10">
      <c r="A44" s="279">
        <v>41</v>
      </c>
      <c r="B44" s="412" t="s">
        <v>338</v>
      </c>
      <c r="C44" s="422" t="s">
        <v>338</v>
      </c>
      <c r="D44" s="413">
        <v>360000</v>
      </c>
      <c r="E44" s="281">
        <f ca="1">SUMIF('3)招へい者4)受入れ体制'!$B$5:$L$29,C44,'3)招へい者4)受入れ体制'!$L$5:$L$29)</f>
        <v>0</v>
      </c>
      <c r="F44" s="279" t="str">
        <f t="shared" ca="1" si="0"/>
        <v/>
      </c>
      <c r="H44" s="279">
        <v>42</v>
      </c>
      <c r="I44" s="412" t="s">
        <v>324</v>
      </c>
      <c r="J44" s="422" t="s">
        <v>324</v>
      </c>
    </row>
    <row r="45" spans="1:10">
      <c r="A45" s="279">
        <v>42</v>
      </c>
      <c r="B45" s="412" t="s">
        <v>339</v>
      </c>
      <c r="C45" s="422" t="s">
        <v>339</v>
      </c>
      <c r="D45" s="413">
        <v>240000</v>
      </c>
      <c r="E45" s="281">
        <f ca="1">SUMIF('3)招へい者4)受入れ体制'!$B$5:$L$29,C45,'3)招へい者4)受入れ体制'!$L$5:$L$29)</f>
        <v>0</v>
      </c>
      <c r="F45" s="279" t="str">
        <f t="shared" ca="1" si="0"/>
        <v/>
      </c>
      <c r="H45" s="279">
        <v>43</v>
      </c>
      <c r="I45" s="412" t="s">
        <v>325</v>
      </c>
      <c r="J45" s="422" t="s">
        <v>325</v>
      </c>
    </row>
    <row r="46" spans="1:10">
      <c r="A46" s="279">
        <v>43</v>
      </c>
      <c r="B46" s="412" t="s">
        <v>499</v>
      </c>
      <c r="C46" s="422" t="s">
        <v>340</v>
      </c>
      <c r="D46" s="413">
        <v>300000</v>
      </c>
      <c r="E46" s="281">
        <f ca="1">SUMIF('3)招へい者4)受入れ体制'!$B$5:$L$29,C46,'3)招へい者4)受入れ体制'!$L$5:$L$29)</f>
        <v>0</v>
      </c>
      <c r="F46" s="279" t="str">
        <f t="shared" ca="1" si="0"/>
        <v/>
      </c>
      <c r="H46" s="279">
        <v>44</v>
      </c>
      <c r="I46" s="412" t="s">
        <v>326</v>
      </c>
      <c r="J46" s="422" t="s">
        <v>326</v>
      </c>
    </row>
    <row r="47" spans="1:10">
      <c r="A47" s="279">
        <v>44</v>
      </c>
      <c r="B47" s="412" t="s">
        <v>341</v>
      </c>
      <c r="C47" s="422" t="s">
        <v>341</v>
      </c>
      <c r="D47" s="413">
        <v>480000</v>
      </c>
      <c r="E47" s="281">
        <f ca="1">SUMIF('3)招へい者4)受入れ体制'!$B$5:$L$29,C47,'3)招へい者4)受入れ体制'!$L$5:$L$29)</f>
        <v>0</v>
      </c>
      <c r="F47" s="279" t="str">
        <f t="shared" ca="1" si="0"/>
        <v/>
      </c>
      <c r="H47" s="279">
        <v>45</v>
      </c>
      <c r="I47" s="412" t="s">
        <v>498</v>
      </c>
      <c r="J47" s="422" t="s">
        <v>506</v>
      </c>
    </row>
    <row r="48" spans="1:10">
      <c r="A48" s="279">
        <v>45</v>
      </c>
      <c r="B48" s="412" t="s">
        <v>343</v>
      </c>
      <c r="C48" s="422" t="s">
        <v>343</v>
      </c>
      <c r="D48" s="413">
        <v>300000</v>
      </c>
      <c r="E48" s="281">
        <f ca="1">SUMIF('3)招へい者4)受入れ体制'!$B$5:$L$29,C48,'3)招へい者4)受入れ体制'!$L$5:$L$29)</f>
        <v>0</v>
      </c>
      <c r="F48" s="279" t="str">
        <f t="shared" ca="1" si="0"/>
        <v/>
      </c>
      <c r="H48" s="279">
        <v>46</v>
      </c>
      <c r="I48" s="412" t="s">
        <v>327</v>
      </c>
      <c r="J48" s="422" t="s">
        <v>327</v>
      </c>
    </row>
    <row r="49" spans="1:10">
      <c r="A49" s="279">
        <v>46</v>
      </c>
      <c r="B49" s="412" t="s">
        <v>344</v>
      </c>
      <c r="C49" s="422" t="s">
        <v>344</v>
      </c>
      <c r="D49" s="413">
        <v>360000</v>
      </c>
      <c r="E49" s="281">
        <f ca="1">SUMIF('3)招へい者4)受入れ体制'!$B$5:$L$29,C49,'3)招へい者4)受入れ体制'!$L$5:$L$29)</f>
        <v>0</v>
      </c>
      <c r="F49" s="279" t="str">
        <f t="shared" ca="1" si="0"/>
        <v/>
      </c>
      <c r="H49" s="279">
        <v>47</v>
      </c>
      <c r="I49" s="412" t="s">
        <v>328</v>
      </c>
      <c r="J49" s="422" t="s">
        <v>328</v>
      </c>
    </row>
    <row r="50" spans="1:10">
      <c r="A50" s="279">
        <v>47</v>
      </c>
      <c r="B50" s="412" t="s">
        <v>345</v>
      </c>
      <c r="C50" s="422" t="s">
        <v>345</v>
      </c>
      <c r="D50" s="413">
        <v>360000</v>
      </c>
      <c r="E50" s="281">
        <f ca="1">SUMIF('3)招へい者4)受入れ体制'!$B$5:$L$29,C50,'3)招へい者4)受入れ体制'!$L$5:$L$29)</f>
        <v>0</v>
      </c>
      <c r="F50" s="279" t="str">
        <f t="shared" ca="1" si="0"/>
        <v/>
      </c>
      <c r="H50" s="279">
        <v>48</v>
      </c>
      <c r="I50" s="412" t="s">
        <v>329</v>
      </c>
      <c r="J50" s="422" t="s">
        <v>330</v>
      </c>
    </row>
    <row r="51" spans="1:10">
      <c r="A51" s="279">
        <v>48</v>
      </c>
      <c r="B51" s="412" t="s">
        <v>347</v>
      </c>
      <c r="C51" s="422" t="s">
        <v>347</v>
      </c>
      <c r="D51" s="413">
        <v>300000</v>
      </c>
      <c r="E51" s="281">
        <f ca="1">SUMIF('3)招へい者4)受入れ体制'!$B$5:$L$29,C51,'3)招へい者4)受入れ体制'!$L$5:$L$29)</f>
        <v>0</v>
      </c>
      <c r="F51" s="279" t="str">
        <f t="shared" ca="1" si="0"/>
        <v/>
      </c>
      <c r="H51" s="279">
        <v>49</v>
      </c>
      <c r="I51" s="412" t="s">
        <v>331</v>
      </c>
      <c r="J51" s="422" t="s">
        <v>331</v>
      </c>
    </row>
    <row r="52" spans="1:10">
      <c r="A52" s="279">
        <v>49</v>
      </c>
      <c r="B52" s="412" t="s">
        <v>348</v>
      </c>
      <c r="C52" s="422" t="s">
        <v>348</v>
      </c>
      <c r="D52" s="413">
        <v>300000</v>
      </c>
      <c r="E52" s="281">
        <f ca="1">SUMIF('3)招へい者4)受入れ体制'!$B$5:$L$29,C52,'3)招へい者4)受入れ体制'!$L$5:$L$29)</f>
        <v>0</v>
      </c>
      <c r="F52" s="279" t="str">
        <f t="shared" ca="1" si="0"/>
        <v/>
      </c>
      <c r="H52" s="279">
        <v>50</v>
      </c>
      <c r="I52" s="412" t="s">
        <v>332</v>
      </c>
      <c r="J52" s="422" t="s">
        <v>332</v>
      </c>
    </row>
    <row r="53" spans="1:10">
      <c r="A53" s="279">
        <v>50</v>
      </c>
      <c r="B53" s="412" t="s">
        <v>349</v>
      </c>
      <c r="C53" s="422" t="s">
        <v>350</v>
      </c>
      <c r="D53" s="413">
        <v>240000</v>
      </c>
      <c r="E53" s="281">
        <f ca="1">SUMIF('3)招へい者4)受入れ体制'!$B$5:$L$29,C53,'3)招へい者4)受入れ体制'!$L$5:$L$29)</f>
        <v>0</v>
      </c>
      <c r="F53" s="279" t="str">
        <f t="shared" ca="1" si="0"/>
        <v/>
      </c>
      <c r="H53" s="279">
        <v>51</v>
      </c>
      <c r="I53" s="412" t="s">
        <v>333</v>
      </c>
      <c r="J53" s="422" t="s">
        <v>333</v>
      </c>
    </row>
    <row r="54" spans="1:10">
      <c r="A54" s="279">
        <v>51</v>
      </c>
      <c r="B54" s="412" t="s">
        <v>351</v>
      </c>
      <c r="C54" s="422" t="s">
        <v>352</v>
      </c>
      <c r="D54" s="413">
        <v>300000</v>
      </c>
      <c r="E54" s="281">
        <f ca="1">SUMIF('3)招へい者4)受入れ体制'!$B$5:$L$29,C54,'3)招へい者4)受入れ体制'!$L$5:$L$29)</f>
        <v>0</v>
      </c>
      <c r="F54" s="279" t="str">
        <f t="shared" ca="1" si="0"/>
        <v/>
      </c>
      <c r="H54" s="279">
        <v>52</v>
      </c>
      <c r="I54" s="412" t="s">
        <v>334</v>
      </c>
      <c r="J54" s="422" t="s">
        <v>334</v>
      </c>
    </row>
    <row r="55" spans="1:10">
      <c r="A55" s="279">
        <v>52</v>
      </c>
      <c r="B55" s="412" t="s">
        <v>353</v>
      </c>
      <c r="C55" s="422" t="s">
        <v>353</v>
      </c>
      <c r="D55" s="413">
        <v>240000</v>
      </c>
      <c r="E55" s="281">
        <f ca="1">SUMIF('3)招へい者4)受入れ体制'!$B$5:$L$29,C55,'3)招へい者4)受入れ体制'!$L$5:$L$29)</f>
        <v>0</v>
      </c>
      <c r="F55" s="279" t="str">
        <f t="shared" ca="1" si="0"/>
        <v/>
      </c>
      <c r="H55" s="279">
        <v>53</v>
      </c>
      <c r="I55" s="412" t="s">
        <v>335</v>
      </c>
      <c r="J55" s="422" t="s">
        <v>335</v>
      </c>
    </row>
    <row r="56" spans="1:10">
      <c r="A56" s="279">
        <v>53</v>
      </c>
      <c r="B56" s="412" t="s">
        <v>354</v>
      </c>
      <c r="C56" s="422" t="s">
        <v>354</v>
      </c>
      <c r="D56" s="413">
        <v>360000</v>
      </c>
      <c r="E56" s="281">
        <f ca="1">SUMIF('3)招へい者4)受入れ体制'!$B$5:$L$29,C56,'3)招へい者4)受入れ体制'!$L$5:$L$29)</f>
        <v>0</v>
      </c>
      <c r="F56" s="279" t="str">
        <f t="shared" ca="1" si="0"/>
        <v/>
      </c>
      <c r="H56" s="279">
        <v>54</v>
      </c>
      <c r="I56" s="412" t="s">
        <v>336</v>
      </c>
      <c r="J56" s="422" t="s">
        <v>336</v>
      </c>
    </row>
    <row r="57" spans="1:10">
      <c r="A57" s="279">
        <v>54</v>
      </c>
      <c r="B57" s="412" t="s">
        <v>355</v>
      </c>
      <c r="C57" s="422" t="s">
        <v>355</v>
      </c>
      <c r="D57" s="413">
        <v>400000</v>
      </c>
      <c r="E57" s="281">
        <f ca="1">SUMIF('3)招へい者4)受入れ体制'!$B$5:$L$29,C57,'3)招へい者4)受入れ体制'!$L$5:$L$29)</f>
        <v>0</v>
      </c>
      <c r="F57" s="279" t="str">
        <f t="shared" ca="1" si="0"/>
        <v/>
      </c>
      <c r="H57" s="279">
        <v>55</v>
      </c>
      <c r="I57" s="412" t="s">
        <v>337</v>
      </c>
      <c r="J57" s="422" t="s">
        <v>337</v>
      </c>
    </row>
    <row r="58" spans="1:10">
      <c r="A58" s="279">
        <v>55</v>
      </c>
      <c r="B58" s="412" t="s">
        <v>356</v>
      </c>
      <c r="C58" s="422" t="s">
        <v>356</v>
      </c>
      <c r="D58" s="413">
        <v>400000</v>
      </c>
      <c r="E58" s="281">
        <f ca="1">SUMIF('3)招へい者4)受入れ体制'!$B$5:$L$29,C58,'3)招へい者4)受入れ体制'!$L$5:$L$29)</f>
        <v>0</v>
      </c>
      <c r="F58" s="279" t="str">
        <f t="shared" ca="1" si="0"/>
        <v/>
      </c>
      <c r="H58" s="279">
        <v>56</v>
      </c>
      <c r="I58" s="412" t="s">
        <v>338</v>
      </c>
      <c r="J58" s="422" t="s">
        <v>338</v>
      </c>
    </row>
    <row r="59" spans="1:10">
      <c r="A59" s="279">
        <v>56</v>
      </c>
      <c r="B59" s="412" t="s">
        <v>358</v>
      </c>
      <c r="C59" s="422" t="s">
        <v>358</v>
      </c>
      <c r="D59" s="413">
        <v>360000</v>
      </c>
      <c r="E59" s="281">
        <f ca="1">SUMIF('3)招へい者4)受入れ体制'!$B$5:$L$29,C59,'3)招へい者4)受入れ体制'!$L$5:$L$29)</f>
        <v>0</v>
      </c>
      <c r="F59" s="279" t="str">
        <f t="shared" ca="1" si="0"/>
        <v/>
      </c>
      <c r="H59" s="279">
        <v>57</v>
      </c>
      <c r="I59" s="412" t="s">
        <v>339</v>
      </c>
      <c r="J59" s="422" t="s">
        <v>339</v>
      </c>
    </row>
    <row r="60" spans="1:10">
      <c r="A60" s="279">
        <v>57</v>
      </c>
      <c r="B60" s="412" t="s">
        <v>359</v>
      </c>
      <c r="C60" s="422" t="s">
        <v>359</v>
      </c>
      <c r="D60" s="413">
        <v>240000</v>
      </c>
      <c r="E60" s="281">
        <f ca="1">SUMIF('3)招へい者4)受入れ体制'!$B$5:$L$29,C60,'3)招へい者4)受入れ体制'!$L$5:$L$29)</f>
        <v>0</v>
      </c>
      <c r="F60" s="279" t="str">
        <f t="shared" ca="1" si="0"/>
        <v/>
      </c>
      <c r="H60" s="279">
        <v>58</v>
      </c>
      <c r="I60" s="412" t="s">
        <v>499</v>
      </c>
      <c r="J60" s="422" t="s">
        <v>340</v>
      </c>
    </row>
    <row r="61" spans="1:10">
      <c r="A61" s="279">
        <v>58</v>
      </c>
      <c r="B61" s="412" t="s">
        <v>360</v>
      </c>
      <c r="C61" s="422" t="s">
        <v>360</v>
      </c>
      <c r="D61" s="413">
        <v>300000</v>
      </c>
      <c r="E61" s="281">
        <f ca="1">SUMIF('3)招へい者4)受入れ体制'!$B$5:$L$29,C61,'3)招へい者4)受入れ体制'!$L$5:$L$29)</f>
        <v>0</v>
      </c>
      <c r="F61" s="279" t="str">
        <f t="shared" ca="1" si="0"/>
        <v/>
      </c>
      <c r="H61" s="279">
        <v>59</v>
      </c>
      <c r="I61" s="412" t="s">
        <v>341</v>
      </c>
      <c r="J61" s="422" t="s">
        <v>341</v>
      </c>
    </row>
    <row r="62" spans="1:10">
      <c r="A62" s="279">
        <v>59</v>
      </c>
      <c r="B62" s="412" t="s">
        <v>361</v>
      </c>
      <c r="C62" s="422" t="s">
        <v>361</v>
      </c>
      <c r="D62" s="413">
        <v>240000</v>
      </c>
      <c r="E62" s="281">
        <f ca="1">SUMIF('3)招へい者4)受入れ体制'!$B$5:$L$29,C62,'3)招へい者4)受入れ体制'!$L$5:$L$29)</f>
        <v>0</v>
      </c>
      <c r="F62" s="279" t="str">
        <f t="shared" ca="1" si="0"/>
        <v/>
      </c>
      <c r="H62" s="279">
        <v>60</v>
      </c>
      <c r="I62" s="412" t="s">
        <v>342</v>
      </c>
      <c r="J62" s="422" t="s">
        <v>342</v>
      </c>
    </row>
    <row r="63" spans="1:10">
      <c r="A63" s="279">
        <v>60</v>
      </c>
      <c r="B63" s="412" t="s">
        <v>362</v>
      </c>
      <c r="C63" s="422" t="s">
        <v>362</v>
      </c>
      <c r="D63" s="413">
        <v>240000</v>
      </c>
      <c r="E63" s="281">
        <f ca="1">SUMIF('3)招へい者4)受入れ体制'!$B$5:$L$29,C63,'3)招へい者4)受入れ体制'!$L$5:$L$29)</f>
        <v>0</v>
      </c>
      <c r="F63" s="279" t="str">
        <f t="shared" ca="1" si="0"/>
        <v/>
      </c>
      <c r="H63" s="279">
        <v>61</v>
      </c>
      <c r="I63" s="412" t="s">
        <v>343</v>
      </c>
      <c r="J63" s="422" t="s">
        <v>343</v>
      </c>
    </row>
    <row r="64" spans="1:10">
      <c r="A64" s="279">
        <v>61</v>
      </c>
      <c r="B64" s="412" t="s">
        <v>363</v>
      </c>
      <c r="C64" s="422" t="s">
        <v>363</v>
      </c>
      <c r="D64" s="413">
        <v>120000</v>
      </c>
      <c r="E64" s="281">
        <f ca="1">SUMIF('3)招へい者4)受入れ体制'!$B$5:$L$29,C64,'3)招へい者4)受入れ体制'!$L$5:$L$29)</f>
        <v>0</v>
      </c>
      <c r="F64" s="279" t="str">
        <f t="shared" ca="1" si="0"/>
        <v/>
      </c>
      <c r="H64" s="279">
        <v>62</v>
      </c>
      <c r="I64" s="412" t="s">
        <v>344</v>
      </c>
      <c r="J64" s="422" t="s">
        <v>344</v>
      </c>
    </row>
    <row r="65" spans="1:10">
      <c r="A65" s="279">
        <v>62</v>
      </c>
      <c r="B65" s="412" t="s">
        <v>364</v>
      </c>
      <c r="C65" s="422" t="s">
        <v>364</v>
      </c>
      <c r="D65" s="413">
        <v>360000</v>
      </c>
      <c r="E65" s="281">
        <f ca="1">SUMIF('3)招へい者4)受入れ体制'!$B$5:$L$29,C65,'3)招へい者4)受入れ体制'!$L$5:$L$29)</f>
        <v>0</v>
      </c>
      <c r="F65" s="279" t="str">
        <f t="shared" ca="1" si="0"/>
        <v/>
      </c>
      <c r="H65" s="279">
        <v>63</v>
      </c>
      <c r="I65" s="412" t="s">
        <v>345</v>
      </c>
      <c r="J65" s="422" t="s">
        <v>345</v>
      </c>
    </row>
    <row r="66" spans="1:10">
      <c r="A66" s="279">
        <v>63</v>
      </c>
      <c r="B66" s="412" t="s">
        <v>367</v>
      </c>
      <c r="C66" s="422" t="s">
        <v>367</v>
      </c>
      <c r="D66" s="413">
        <v>240000</v>
      </c>
      <c r="E66" s="281">
        <f ca="1">SUMIF('3)招へい者4)受入れ体制'!$B$5:$L$29,C66,'3)招へい者4)受入れ体制'!$L$5:$L$29)</f>
        <v>0</v>
      </c>
      <c r="F66" s="279" t="str">
        <f t="shared" ca="1" si="0"/>
        <v/>
      </c>
      <c r="H66" s="279">
        <v>64</v>
      </c>
      <c r="I66" s="412" t="s">
        <v>346</v>
      </c>
      <c r="J66" s="422" t="s">
        <v>346</v>
      </c>
    </row>
    <row r="67" spans="1:10">
      <c r="A67" s="279">
        <v>64</v>
      </c>
      <c r="B67" s="412" t="s">
        <v>369</v>
      </c>
      <c r="C67" s="422" t="s">
        <v>369</v>
      </c>
      <c r="D67" s="413">
        <v>480000</v>
      </c>
      <c r="E67" s="281">
        <f ca="1">SUMIF('3)招へい者4)受入れ体制'!$B$5:$L$29,C67,'3)招へい者4)受入れ体制'!$L$5:$L$29)</f>
        <v>0</v>
      </c>
      <c r="F67" s="279" t="str">
        <f t="shared" ca="1" si="0"/>
        <v/>
      </c>
      <c r="H67" s="279">
        <v>65</v>
      </c>
      <c r="I67" s="412" t="s">
        <v>347</v>
      </c>
      <c r="J67" s="422" t="s">
        <v>347</v>
      </c>
    </row>
    <row r="68" spans="1:10">
      <c r="A68" s="279">
        <v>65</v>
      </c>
      <c r="B68" s="412" t="s">
        <v>370</v>
      </c>
      <c r="C68" s="422" t="s">
        <v>370</v>
      </c>
      <c r="D68" s="413">
        <v>180000</v>
      </c>
      <c r="E68" s="281">
        <f ca="1">SUMIF('3)招へい者4)受入れ体制'!$B$5:$L$29,C68,'3)招へい者4)受入れ体制'!$L$5:$L$29)</f>
        <v>0</v>
      </c>
      <c r="F68" s="279" t="str">
        <f t="shared" ca="1" si="0"/>
        <v/>
      </c>
      <c r="H68" s="279">
        <v>66</v>
      </c>
      <c r="I68" s="412" t="s">
        <v>348</v>
      </c>
      <c r="J68" s="422" t="s">
        <v>348</v>
      </c>
    </row>
    <row r="69" spans="1:10">
      <c r="A69" s="279">
        <v>66</v>
      </c>
      <c r="B69" s="412" t="s">
        <v>373</v>
      </c>
      <c r="C69" s="422" t="s">
        <v>373</v>
      </c>
      <c r="D69" s="413">
        <v>240000</v>
      </c>
      <c r="E69" s="281">
        <f ca="1">SUMIF('3)招へい者4)受入れ体制'!$B$5:$L$29,C69,'3)招へい者4)受入れ体制'!$L$5:$L$29)</f>
        <v>0</v>
      </c>
      <c r="F69" s="279" t="str">
        <f t="shared" ref="F69:F132" ca="1" si="1">IF(E69&gt;0,C69&amp;"："&amp;E69&amp;"人","")</f>
        <v/>
      </c>
      <c r="H69" s="279">
        <v>67</v>
      </c>
      <c r="I69" s="412" t="s">
        <v>349</v>
      </c>
      <c r="J69" s="422" t="s">
        <v>350</v>
      </c>
    </row>
    <row r="70" spans="1:10">
      <c r="A70" s="279">
        <v>67</v>
      </c>
      <c r="B70" s="412" t="s">
        <v>374</v>
      </c>
      <c r="C70" s="422" t="s">
        <v>375</v>
      </c>
      <c r="D70" s="413">
        <v>360000</v>
      </c>
      <c r="E70" s="281">
        <f ca="1">SUMIF('3)招へい者4)受入れ体制'!$B$5:$L$29,C70,'3)招へい者4)受入れ体制'!$L$5:$L$29)</f>
        <v>0</v>
      </c>
      <c r="F70" s="279" t="str">
        <f t="shared" ca="1" si="1"/>
        <v/>
      </c>
      <c r="H70" s="279">
        <v>68</v>
      </c>
      <c r="I70" s="412" t="s">
        <v>351</v>
      </c>
      <c r="J70" s="422" t="s">
        <v>352</v>
      </c>
    </row>
    <row r="71" spans="1:10">
      <c r="A71" s="279">
        <v>68</v>
      </c>
      <c r="B71" s="412" t="s">
        <v>376</v>
      </c>
      <c r="C71" s="422" t="s">
        <v>376</v>
      </c>
      <c r="D71" s="413">
        <v>300000</v>
      </c>
      <c r="E71" s="281">
        <f ca="1">SUMIF('3)招へい者4)受入れ体制'!$B$5:$L$29,C71,'3)招へい者4)受入れ体制'!$L$5:$L$29)</f>
        <v>0</v>
      </c>
      <c r="F71" s="279" t="str">
        <f t="shared" ca="1" si="1"/>
        <v/>
      </c>
      <c r="H71" s="279">
        <v>69</v>
      </c>
      <c r="I71" s="412" t="s">
        <v>353</v>
      </c>
      <c r="J71" s="422" t="s">
        <v>353</v>
      </c>
    </row>
    <row r="72" spans="1:10">
      <c r="A72" s="279">
        <v>69</v>
      </c>
      <c r="B72" s="412" t="s">
        <v>378</v>
      </c>
      <c r="C72" s="422" t="s">
        <v>378</v>
      </c>
      <c r="D72" s="413">
        <v>300000</v>
      </c>
      <c r="E72" s="281">
        <f ca="1">SUMIF('3)招へい者4)受入れ体制'!$B$5:$L$29,C72,'3)招へい者4)受入れ体制'!$L$5:$L$29)</f>
        <v>0</v>
      </c>
      <c r="F72" s="279" t="str">
        <f t="shared" ca="1" si="1"/>
        <v/>
      </c>
      <c r="H72" s="279">
        <v>70</v>
      </c>
      <c r="I72" s="412" t="s">
        <v>354</v>
      </c>
      <c r="J72" s="422" t="s">
        <v>354</v>
      </c>
    </row>
    <row r="73" spans="1:10">
      <c r="A73" s="279">
        <v>70</v>
      </c>
      <c r="B73" s="412" t="s">
        <v>572</v>
      </c>
      <c r="C73" s="422" t="s">
        <v>507</v>
      </c>
      <c r="D73" s="413">
        <v>360000</v>
      </c>
      <c r="E73" s="281">
        <f ca="1">SUMIF('3)招へい者4)受入れ体制'!$B$5:$L$29,C73,'3)招へい者4)受入れ体制'!$L$5:$L$29)</f>
        <v>0</v>
      </c>
      <c r="F73" s="279" t="str">
        <f t="shared" ca="1" si="1"/>
        <v/>
      </c>
      <c r="H73" s="279">
        <v>71</v>
      </c>
      <c r="I73" s="412" t="s">
        <v>355</v>
      </c>
      <c r="J73" s="422" t="s">
        <v>355</v>
      </c>
    </row>
    <row r="74" spans="1:10">
      <c r="A74" s="279">
        <v>71</v>
      </c>
      <c r="B74" s="412" t="s">
        <v>379</v>
      </c>
      <c r="C74" s="422" t="s">
        <v>379</v>
      </c>
      <c r="D74" s="413">
        <v>360000</v>
      </c>
      <c r="E74" s="281">
        <f ca="1">SUMIF('3)招へい者4)受入れ体制'!$B$5:$L$29,C74,'3)招へい者4)受入れ体制'!$L$5:$L$29)</f>
        <v>0</v>
      </c>
      <c r="F74" s="279" t="str">
        <f t="shared" ca="1" si="1"/>
        <v/>
      </c>
      <c r="H74" s="279">
        <v>72</v>
      </c>
      <c r="I74" s="412" t="s">
        <v>356</v>
      </c>
      <c r="J74" s="422" t="s">
        <v>356</v>
      </c>
    </row>
    <row r="75" spans="1:10">
      <c r="A75" s="279">
        <v>72</v>
      </c>
      <c r="B75" s="412" t="s">
        <v>380</v>
      </c>
      <c r="C75" s="422" t="s">
        <v>380</v>
      </c>
      <c r="D75" s="413">
        <v>360000</v>
      </c>
      <c r="E75" s="281">
        <f ca="1">SUMIF('3)招へい者4)受入れ体制'!$B$5:$L$29,C75,'3)招へい者4)受入れ体制'!$L$5:$L$29)</f>
        <v>0</v>
      </c>
      <c r="F75" s="279" t="str">
        <f t="shared" ca="1" si="1"/>
        <v/>
      </c>
      <c r="H75" s="279">
        <v>73</v>
      </c>
      <c r="I75" s="412" t="s">
        <v>357</v>
      </c>
      <c r="J75" s="422" t="s">
        <v>357</v>
      </c>
    </row>
    <row r="76" spans="1:10">
      <c r="A76" s="279">
        <v>73</v>
      </c>
      <c r="B76" s="412" t="s">
        <v>501</v>
      </c>
      <c r="C76" s="422" t="s">
        <v>21</v>
      </c>
      <c r="D76" s="413">
        <v>420000</v>
      </c>
      <c r="E76" s="281">
        <f ca="1">SUMIF('3)招へい者4)受入れ体制'!$B$5:$L$29,C76,'3)招へい者4)受入れ体制'!$L$5:$L$29)</f>
        <v>0</v>
      </c>
      <c r="F76" s="279" t="str">
        <f t="shared" ca="1" si="1"/>
        <v/>
      </c>
      <c r="H76" s="279">
        <v>74</v>
      </c>
      <c r="I76" s="412" t="s">
        <v>358</v>
      </c>
      <c r="J76" s="422" t="s">
        <v>358</v>
      </c>
    </row>
    <row r="77" spans="1:10">
      <c r="A77" s="279">
        <v>74</v>
      </c>
      <c r="B77" s="412" t="s">
        <v>381</v>
      </c>
      <c r="C77" s="422" t="s">
        <v>381</v>
      </c>
      <c r="D77" s="413">
        <v>120000</v>
      </c>
      <c r="E77" s="281">
        <f ca="1">SUMIF('3)招へい者4)受入れ体制'!$B$5:$L$29,C77,'3)招へい者4)受入れ体制'!$L$5:$L$29)</f>
        <v>0</v>
      </c>
      <c r="F77" s="279" t="str">
        <f t="shared" ca="1" si="1"/>
        <v/>
      </c>
      <c r="H77" s="279">
        <v>75</v>
      </c>
      <c r="I77" s="412" t="s">
        <v>359</v>
      </c>
      <c r="J77" s="422" t="s">
        <v>359</v>
      </c>
    </row>
    <row r="78" spans="1:10">
      <c r="A78" s="279">
        <v>75</v>
      </c>
      <c r="B78" s="412" t="s">
        <v>382</v>
      </c>
      <c r="C78" s="422" t="s">
        <v>508</v>
      </c>
      <c r="D78" s="413">
        <v>84000</v>
      </c>
      <c r="E78" s="281">
        <f ca="1">SUMIF('3)招へい者4)受入れ体制'!$B$5:$L$29,C78,'3)招へい者4)受入れ体制'!$L$5:$L$29)</f>
        <v>0</v>
      </c>
      <c r="F78" s="279" t="str">
        <f t="shared" ca="1" si="1"/>
        <v/>
      </c>
      <c r="H78" s="279">
        <v>76</v>
      </c>
      <c r="I78" s="412" t="s">
        <v>360</v>
      </c>
      <c r="J78" s="422" t="s">
        <v>360</v>
      </c>
    </row>
    <row r="79" spans="1:10">
      <c r="A79" s="279">
        <v>76</v>
      </c>
      <c r="B79" s="412" t="s">
        <v>383</v>
      </c>
      <c r="C79" s="422" t="s">
        <v>383</v>
      </c>
      <c r="D79" s="413">
        <v>300000</v>
      </c>
      <c r="E79" s="281">
        <f ca="1">SUMIF('3)招へい者4)受入れ体制'!$B$5:$L$29,C79,'3)招へい者4)受入れ体制'!$L$5:$L$29)</f>
        <v>0</v>
      </c>
      <c r="F79" s="279" t="str">
        <f t="shared" ca="1" si="1"/>
        <v/>
      </c>
      <c r="H79" s="279">
        <v>77</v>
      </c>
      <c r="I79" s="412" t="s">
        <v>361</v>
      </c>
      <c r="J79" s="422" t="s">
        <v>361</v>
      </c>
    </row>
    <row r="80" spans="1:10">
      <c r="A80" s="279">
        <v>77</v>
      </c>
      <c r="B80" s="412" t="s">
        <v>384</v>
      </c>
      <c r="C80" s="422" t="s">
        <v>384</v>
      </c>
      <c r="D80" s="413">
        <v>300000</v>
      </c>
      <c r="E80" s="281">
        <f ca="1">SUMIF('3)招へい者4)受入れ体制'!$B$5:$L$29,C80,'3)招へい者4)受入れ体制'!$L$5:$L$29)</f>
        <v>0</v>
      </c>
      <c r="F80" s="279" t="str">
        <f t="shared" ca="1" si="1"/>
        <v/>
      </c>
      <c r="H80" s="279">
        <v>78</v>
      </c>
      <c r="I80" s="412" t="s">
        <v>362</v>
      </c>
      <c r="J80" s="422" t="s">
        <v>362</v>
      </c>
    </row>
    <row r="81" spans="1:10">
      <c r="A81" s="279">
        <v>78</v>
      </c>
      <c r="B81" s="412" t="s">
        <v>386</v>
      </c>
      <c r="C81" s="422" t="s">
        <v>386</v>
      </c>
      <c r="D81" s="413">
        <v>240000</v>
      </c>
      <c r="E81" s="281">
        <f ca="1">SUMIF('3)招へい者4)受入れ体制'!$B$5:$L$29,C81,'3)招へい者4)受入れ体制'!$L$5:$L$29)</f>
        <v>0</v>
      </c>
      <c r="F81" s="279" t="str">
        <f t="shared" ca="1" si="1"/>
        <v/>
      </c>
      <c r="H81" s="279">
        <v>79</v>
      </c>
      <c r="I81" s="412" t="s">
        <v>363</v>
      </c>
      <c r="J81" s="422" t="s">
        <v>363</v>
      </c>
    </row>
    <row r="82" spans="1:10">
      <c r="A82" s="279">
        <v>79</v>
      </c>
      <c r="B82" s="412" t="s">
        <v>502</v>
      </c>
      <c r="C82" s="422" t="s">
        <v>573</v>
      </c>
      <c r="D82" s="413">
        <v>360000</v>
      </c>
      <c r="E82" s="281">
        <f ca="1">SUMIF('3)招へい者4)受入れ体制'!$B$5:$L$29,C82,'3)招へい者4)受入れ体制'!$L$5:$L$29)</f>
        <v>0</v>
      </c>
      <c r="F82" s="279" t="str">
        <f t="shared" ca="1" si="1"/>
        <v/>
      </c>
      <c r="H82" s="279">
        <v>80</v>
      </c>
      <c r="I82" s="412" t="s">
        <v>364</v>
      </c>
      <c r="J82" s="422" t="s">
        <v>364</v>
      </c>
    </row>
    <row r="83" spans="1:10">
      <c r="A83" s="279">
        <v>80</v>
      </c>
      <c r="B83" s="412" t="s">
        <v>503</v>
      </c>
      <c r="C83" s="422" t="s">
        <v>574</v>
      </c>
      <c r="D83" s="413">
        <v>120000</v>
      </c>
      <c r="E83" s="281">
        <f ca="1">SUMIF('3)招へい者4)受入れ体制'!$B$5:$L$29,C83,'3)招へい者4)受入れ体制'!$L$5:$L$29)</f>
        <v>0</v>
      </c>
      <c r="F83" s="279" t="str">
        <f t="shared" ca="1" si="1"/>
        <v/>
      </c>
      <c r="H83" s="279">
        <v>81</v>
      </c>
      <c r="I83" s="412" t="s">
        <v>365</v>
      </c>
      <c r="J83" s="422" t="s">
        <v>365</v>
      </c>
    </row>
    <row r="84" spans="1:10">
      <c r="A84" s="279">
        <v>81</v>
      </c>
      <c r="B84" s="412" t="s">
        <v>387</v>
      </c>
      <c r="C84" s="422" t="s">
        <v>387</v>
      </c>
      <c r="D84" s="413">
        <v>240000</v>
      </c>
      <c r="E84" s="281">
        <f ca="1">SUMIF('3)招へい者4)受入れ体制'!$B$5:$L$29,C84,'3)招へい者4)受入れ体制'!$L$5:$L$29)</f>
        <v>0</v>
      </c>
      <c r="F84" s="279" t="str">
        <f t="shared" ca="1" si="1"/>
        <v/>
      </c>
      <c r="H84" s="279">
        <v>82</v>
      </c>
      <c r="I84" s="412" t="s">
        <v>366</v>
      </c>
      <c r="J84" s="422" t="s">
        <v>366</v>
      </c>
    </row>
    <row r="85" spans="1:10">
      <c r="A85" s="279">
        <v>82</v>
      </c>
      <c r="B85" s="412" t="s">
        <v>388</v>
      </c>
      <c r="C85" s="422" t="s">
        <v>388</v>
      </c>
      <c r="D85" s="413">
        <v>300000</v>
      </c>
      <c r="E85" s="281">
        <f ca="1">SUMIF('3)招へい者4)受入れ体制'!$B$5:$L$29,C85,'3)招へい者4)受入れ体制'!$L$5:$L$29)</f>
        <v>0</v>
      </c>
      <c r="F85" s="279" t="str">
        <f t="shared" ca="1" si="1"/>
        <v/>
      </c>
      <c r="H85" s="279">
        <v>83</v>
      </c>
      <c r="I85" s="412" t="s">
        <v>367</v>
      </c>
      <c r="J85" s="422" t="s">
        <v>367</v>
      </c>
    </row>
    <row r="86" spans="1:10">
      <c r="A86" s="279">
        <v>83</v>
      </c>
      <c r="B86" s="412" t="s">
        <v>389</v>
      </c>
      <c r="C86" s="422" t="s">
        <v>389</v>
      </c>
      <c r="D86" s="413">
        <v>420000</v>
      </c>
      <c r="E86" s="281">
        <f ca="1">SUMIF('3)招へい者4)受入れ体制'!$B$5:$L$29,C86,'3)招へい者4)受入れ体制'!$L$5:$L$29)</f>
        <v>0</v>
      </c>
      <c r="F86" s="279" t="str">
        <f t="shared" ca="1" si="1"/>
        <v/>
      </c>
      <c r="H86" s="279">
        <v>84</v>
      </c>
      <c r="I86" s="412" t="s">
        <v>368</v>
      </c>
      <c r="J86" s="422" t="s">
        <v>368</v>
      </c>
    </row>
    <row r="87" spans="1:10">
      <c r="A87" s="279">
        <v>84</v>
      </c>
      <c r="B87" s="412" t="s">
        <v>392</v>
      </c>
      <c r="C87" s="422" t="s">
        <v>392</v>
      </c>
      <c r="D87" s="413">
        <v>300000</v>
      </c>
      <c r="E87" s="281">
        <f ca="1">SUMIF('3)招へい者4)受入れ体制'!$B$5:$L$29,C87,'3)招へい者4)受入れ体制'!$L$5:$L$29)</f>
        <v>0</v>
      </c>
      <c r="F87" s="279" t="str">
        <f t="shared" ca="1" si="1"/>
        <v/>
      </c>
      <c r="H87" s="279">
        <v>85</v>
      </c>
      <c r="I87" s="412" t="s">
        <v>369</v>
      </c>
      <c r="J87" s="422" t="s">
        <v>369</v>
      </c>
    </row>
    <row r="88" spans="1:10">
      <c r="A88" s="279">
        <v>85</v>
      </c>
      <c r="B88" s="412" t="s">
        <v>394</v>
      </c>
      <c r="C88" s="422" t="s">
        <v>575</v>
      </c>
      <c r="D88" s="413">
        <v>360000</v>
      </c>
      <c r="E88" s="281">
        <f ca="1">SUMIF('3)招へい者4)受入れ体制'!$B$5:$L$29,C88,'3)招へい者4)受入れ体制'!$L$5:$L$29)</f>
        <v>0</v>
      </c>
      <c r="F88" s="279" t="str">
        <f t="shared" ca="1" si="1"/>
        <v/>
      </c>
      <c r="H88" s="279">
        <v>86</v>
      </c>
      <c r="I88" s="412" t="s">
        <v>370</v>
      </c>
      <c r="J88" s="422" t="s">
        <v>370</v>
      </c>
    </row>
    <row r="89" spans="1:10">
      <c r="A89" s="279">
        <v>86</v>
      </c>
      <c r="B89" s="412" t="s">
        <v>504</v>
      </c>
      <c r="C89" s="422" t="s">
        <v>576</v>
      </c>
      <c r="D89" s="413">
        <v>480000</v>
      </c>
      <c r="E89" s="281">
        <f ca="1">SUMIF('3)招へい者4)受入れ体制'!$B$5:$L$29,C89,'3)招へい者4)受入れ体制'!$L$5:$L$29)</f>
        <v>0</v>
      </c>
      <c r="F89" s="279" t="str">
        <f t="shared" ca="1" si="1"/>
        <v/>
      </c>
      <c r="H89" s="279">
        <v>87</v>
      </c>
      <c r="I89" s="412" t="s">
        <v>371</v>
      </c>
      <c r="J89" s="422" t="s">
        <v>371</v>
      </c>
    </row>
    <row r="90" spans="1:10">
      <c r="A90" s="279">
        <v>87</v>
      </c>
      <c r="B90" s="412" t="s">
        <v>396</v>
      </c>
      <c r="C90" s="422" t="s">
        <v>396</v>
      </c>
      <c r="D90" s="413">
        <v>480000</v>
      </c>
      <c r="E90" s="281">
        <f ca="1">SUMIF('3)招へい者4)受入れ体制'!$B$5:$L$29,C90,'3)招へい者4)受入れ体制'!$L$5:$L$29)</f>
        <v>0</v>
      </c>
      <c r="F90" s="279" t="str">
        <f t="shared" ca="1" si="1"/>
        <v/>
      </c>
      <c r="H90" s="279">
        <v>88</v>
      </c>
      <c r="I90" s="412" t="s">
        <v>372</v>
      </c>
      <c r="J90" s="422" t="s">
        <v>372</v>
      </c>
    </row>
    <row r="91" spans="1:10">
      <c r="A91" s="279">
        <v>88</v>
      </c>
      <c r="B91" s="412" t="s">
        <v>22</v>
      </c>
      <c r="C91" s="422" t="s">
        <v>22</v>
      </c>
      <c r="D91" s="413">
        <v>300000</v>
      </c>
      <c r="E91" s="281">
        <f ca="1">SUMIF('3)招へい者4)受入れ体制'!$B$5:$L$29,C91,'3)招へい者4)受入れ体制'!$L$5:$L$29)</f>
        <v>0</v>
      </c>
      <c r="F91" s="279" t="str">
        <f t="shared" ca="1" si="1"/>
        <v/>
      </c>
      <c r="H91" s="279">
        <v>89</v>
      </c>
      <c r="I91" s="412" t="s">
        <v>373</v>
      </c>
      <c r="J91" s="422" t="s">
        <v>373</v>
      </c>
    </row>
    <row r="92" spans="1:10">
      <c r="A92" s="279">
        <v>89</v>
      </c>
      <c r="B92" s="412" t="s">
        <v>397</v>
      </c>
      <c r="C92" s="422" t="s">
        <v>397</v>
      </c>
      <c r="D92" s="413">
        <v>240000</v>
      </c>
      <c r="E92" s="281">
        <f ca="1">SUMIF('3)招へい者4)受入れ体制'!$B$5:$L$29,C92,'3)招へい者4)受入れ体制'!$L$5:$L$29)</f>
        <v>0</v>
      </c>
      <c r="F92" s="279" t="str">
        <f t="shared" ca="1" si="1"/>
        <v/>
      </c>
      <c r="H92" s="279">
        <v>90</v>
      </c>
      <c r="I92" s="412" t="s">
        <v>374</v>
      </c>
      <c r="J92" s="422" t="s">
        <v>375</v>
      </c>
    </row>
    <row r="93" spans="1:10">
      <c r="A93" s="279">
        <v>90</v>
      </c>
      <c r="B93" s="412" t="s">
        <v>398</v>
      </c>
      <c r="C93" s="422" t="s">
        <v>398</v>
      </c>
      <c r="D93" s="413">
        <v>240000</v>
      </c>
      <c r="E93" s="281">
        <f ca="1">SUMIF('3)招へい者4)受入れ体制'!$B$5:$L$29,C93,'3)招へい者4)受入れ体制'!$L$5:$L$29)</f>
        <v>0</v>
      </c>
      <c r="F93" s="279" t="str">
        <f t="shared" ca="1" si="1"/>
        <v/>
      </c>
      <c r="H93" s="279">
        <v>91</v>
      </c>
      <c r="I93" s="412" t="s">
        <v>376</v>
      </c>
      <c r="J93" s="422" t="s">
        <v>376</v>
      </c>
    </row>
    <row r="94" spans="1:10">
      <c r="A94" s="279">
        <v>91</v>
      </c>
      <c r="B94" s="412" t="s">
        <v>399</v>
      </c>
      <c r="C94" s="422" t="s">
        <v>399</v>
      </c>
      <c r="D94" s="413">
        <v>360000</v>
      </c>
      <c r="E94" s="281">
        <f ca="1">SUMIF('3)招へい者4)受入れ体制'!$B$5:$L$29,C94,'3)招へい者4)受入れ体制'!$L$5:$L$29)</f>
        <v>0</v>
      </c>
      <c r="F94" s="279" t="str">
        <f t="shared" ca="1" si="1"/>
        <v/>
      </c>
      <c r="H94" s="279">
        <v>92</v>
      </c>
      <c r="I94" s="412" t="s">
        <v>377</v>
      </c>
      <c r="J94" s="422" t="s">
        <v>377</v>
      </c>
    </row>
    <row r="95" spans="1:10">
      <c r="A95" s="279">
        <v>92</v>
      </c>
      <c r="B95" s="412" t="s">
        <v>400</v>
      </c>
      <c r="C95" s="422" t="s">
        <v>400</v>
      </c>
      <c r="D95" s="413">
        <v>420000</v>
      </c>
      <c r="E95" s="281">
        <f ca="1">SUMIF('3)招へい者4)受入れ体制'!$B$5:$L$29,C95,'3)招へい者4)受入れ体制'!$L$5:$L$29)</f>
        <v>0</v>
      </c>
      <c r="F95" s="279" t="str">
        <f t="shared" ca="1" si="1"/>
        <v/>
      </c>
      <c r="H95" s="279">
        <v>93</v>
      </c>
      <c r="I95" s="412" t="s">
        <v>378</v>
      </c>
      <c r="J95" s="422" t="s">
        <v>378</v>
      </c>
    </row>
    <row r="96" spans="1:10">
      <c r="A96" s="279">
        <v>93</v>
      </c>
      <c r="B96" s="412" t="s">
        <v>401</v>
      </c>
      <c r="C96" s="422" t="s">
        <v>401</v>
      </c>
      <c r="D96" s="413">
        <v>240000</v>
      </c>
      <c r="E96" s="281">
        <f ca="1">SUMIF('3)招へい者4)受入れ体制'!$B$5:$L$29,C96,'3)招へい者4)受入れ体制'!$L$5:$L$29)</f>
        <v>0</v>
      </c>
      <c r="F96" s="279" t="str">
        <f t="shared" ca="1" si="1"/>
        <v/>
      </c>
      <c r="H96" s="279">
        <v>94</v>
      </c>
      <c r="I96" s="412" t="s">
        <v>500</v>
      </c>
      <c r="J96" s="422" t="s">
        <v>507</v>
      </c>
    </row>
    <row r="97" spans="1:10">
      <c r="A97" s="279">
        <v>94</v>
      </c>
      <c r="B97" s="412" t="s">
        <v>402</v>
      </c>
      <c r="C97" s="422" t="s">
        <v>402</v>
      </c>
      <c r="D97" s="413">
        <v>420000</v>
      </c>
      <c r="E97" s="281">
        <f ca="1">SUMIF('3)招へい者4)受入れ体制'!$B$5:$L$29,C97,'3)招へい者4)受入れ体制'!$L$5:$L$29)</f>
        <v>0</v>
      </c>
      <c r="F97" s="279" t="str">
        <f t="shared" ca="1" si="1"/>
        <v/>
      </c>
      <c r="H97" s="279">
        <v>95</v>
      </c>
      <c r="I97" s="412" t="s">
        <v>379</v>
      </c>
      <c r="J97" s="422" t="s">
        <v>379</v>
      </c>
    </row>
    <row r="98" spans="1:10">
      <c r="A98" s="279">
        <v>95</v>
      </c>
      <c r="B98" s="412" t="s">
        <v>403</v>
      </c>
      <c r="C98" s="422" t="s">
        <v>403</v>
      </c>
      <c r="D98" s="413">
        <v>360000</v>
      </c>
      <c r="E98" s="281">
        <f ca="1">SUMIF('3)招へい者4)受入れ体制'!$B$5:$L$29,C98,'3)招へい者4)受入れ体制'!$L$5:$L$29)</f>
        <v>0</v>
      </c>
      <c r="F98" s="279" t="str">
        <f t="shared" ca="1" si="1"/>
        <v/>
      </c>
      <c r="H98" s="279">
        <v>96</v>
      </c>
      <c r="I98" s="412" t="s">
        <v>380</v>
      </c>
      <c r="J98" s="422" t="s">
        <v>380</v>
      </c>
    </row>
    <row r="99" spans="1:10">
      <c r="A99" s="279">
        <v>96</v>
      </c>
      <c r="B99" s="412" t="s">
        <v>404</v>
      </c>
      <c r="C99" s="422" t="s">
        <v>404</v>
      </c>
      <c r="D99" s="413">
        <v>300000</v>
      </c>
      <c r="E99" s="281">
        <f ca="1">SUMIF('3)招へい者4)受入れ体制'!$B$5:$L$29,C99,'3)招へい者4)受入れ体制'!$L$5:$L$29)</f>
        <v>0</v>
      </c>
      <c r="F99" s="279" t="str">
        <f t="shared" ca="1" si="1"/>
        <v/>
      </c>
      <c r="H99" s="279">
        <v>97</v>
      </c>
      <c r="I99" s="412" t="s">
        <v>501</v>
      </c>
      <c r="J99" s="422" t="s">
        <v>21</v>
      </c>
    </row>
    <row r="100" spans="1:10">
      <c r="A100" s="279">
        <v>97</v>
      </c>
      <c r="B100" s="412" t="s">
        <v>406</v>
      </c>
      <c r="C100" s="422" t="s">
        <v>406</v>
      </c>
      <c r="D100" s="413">
        <v>180000</v>
      </c>
      <c r="E100" s="281">
        <f ca="1">SUMIF('3)招へい者4)受入れ体制'!$B$5:$L$29,C100,'3)招へい者4)受入れ体制'!$L$5:$L$29)</f>
        <v>0</v>
      </c>
      <c r="F100" s="279" t="str">
        <f t="shared" ca="1" si="1"/>
        <v/>
      </c>
      <c r="H100" s="279">
        <v>98</v>
      </c>
      <c r="I100" s="412" t="s">
        <v>381</v>
      </c>
      <c r="J100" s="422" t="s">
        <v>381</v>
      </c>
    </row>
    <row r="101" spans="1:10">
      <c r="A101" s="279">
        <v>98</v>
      </c>
      <c r="B101" s="412" t="s">
        <v>408</v>
      </c>
      <c r="C101" s="422" t="s">
        <v>408</v>
      </c>
      <c r="D101" s="413">
        <v>240000</v>
      </c>
      <c r="E101" s="281">
        <f ca="1">SUMIF('3)招へい者4)受入れ体制'!$B$5:$L$29,C101,'3)招へい者4)受入れ体制'!$L$5:$L$29)</f>
        <v>0</v>
      </c>
      <c r="F101" s="279" t="str">
        <f t="shared" ca="1" si="1"/>
        <v/>
      </c>
      <c r="H101" s="279">
        <v>99</v>
      </c>
      <c r="I101" s="412" t="s">
        <v>382</v>
      </c>
      <c r="J101" s="422" t="s">
        <v>508</v>
      </c>
    </row>
    <row r="102" spans="1:10">
      <c r="A102" s="279">
        <v>99</v>
      </c>
      <c r="B102" s="412" t="s">
        <v>409</v>
      </c>
      <c r="C102" s="422" t="s">
        <v>409</v>
      </c>
      <c r="D102" s="413">
        <v>300000</v>
      </c>
      <c r="E102" s="281">
        <f ca="1">SUMIF('3)招へい者4)受入れ体制'!$B$5:$L$29,C102,'3)招へい者4)受入れ体制'!$L$5:$L$29)</f>
        <v>0</v>
      </c>
      <c r="F102" s="279" t="str">
        <f t="shared" ca="1" si="1"/>
        <v/>
      </c>
      <c r="H102" s="279">
        <v>100</v>
      </c>
      <c r="I102" s="412" t="s">
        <v>383</v>
      </c>
      <c r="J102" s="422" t="s">
        <v>383</v>
      </c>
    </row>
    <row r="103" spans="1:10">
      <c r="A103" s="279">
        <v>100</v>
      </c>
      <c r="B103" s="412" t="s">
        <v>410</v>
      </c>
      <c r="C103" s="422" t="s">
        <v>410</v>
      </c>
      <c r="D103" s="413">
        <v>240000</v>
      </c>
      <c r="E103" s="281">
        <f ca="1">SUMIF('3)招へい者4)受入れ体制'!$B$5:$L$29,C103,'3)招へい者4)受入れ体制'!$L$5:$L$29)</f>
        <v>0</v>
      </c>
      <c r="F103" s="279" t="str">
        <f t="shared" ca="1" si="1"/>
        <v/>
      </c>
      <c r="H103" s="279">
        <v>101</v>
      </c>
      <c r="I103" s="412" t="s">
        <v>384</v>
      </c>
      <c r="J103" s="422" t="s">
        <v>384</v>
      </c>
    </row>
    <row r="104" spans="1:10">
      <c r="A104" s="279">
        <v>101</v>
      </c>
      <c r="B104" s="412" t="s">
        <v>412</v>
      </c>
      <c r="C104" s="422" t="s">
        <v>412</v>
      </c>
      <c r="D104" s="413">
        <v>480000</v>
      </c>
      <c r="E104" s="281">
        <f ca="1">SUMIF('3)招へい者4)受入れ体制'!$B$5:$L$29,C104,'3)招へい者4)受入れ体制'!$L$5:$L$29)</f>
        <v>0</v>
      </c>
      <c r="F104" s="279" t="str">
        <f t="shared" ca="1" si="1"/>
        <v/>
      </c>
      <c r="H104" s="279">
        <v>102</v>
      </c>
      <c r="I104" s="412" t="s">
        <v>385</v>
      </c>
      <c r="J104" s="422" t="s">
        <v>385</v>
      </c>
    </row>
    <row r="105" spans="1:10">
      <c r="A105" s="279">
        <v>102</v>
      </c>
      <c r="B105" s="412" t="s">
        <v>413</v>
      </c>
      <c r="C105" s="422" t="s">
        <v>413</v>
      </c>
      <c r="D105" s="413">
        <v>240000</v>
      </c>
      <c r="E105" s="281">
        <f ca="1">SUMIF('3)招へい者4)受入れ体制'!$B$5:$L$29,C105,'3)招へい者4)受入れ体制'!$L$5:$L$29)</f>
        <v>0</v>
      </c>
      <c r="F105" s="279" t="str">
        <f t="shared" ca="1" si="1"/>
        <v/>
      </c>
      <c r="H105" s="279">
        <v>103</v>
      </c>
      <c r="I105" s="412" t="s">
        <v>386</v>
      </c>
      <c r="J105" s="422" t="s">
        <v>386</v>
      </c>
    </row>
    <row r="106" spans="1:10">
      <c r="A106" s="279">
        <v>103</v>
      </c>
      <c r="B106" s="412" t="s">
        <v>414</v>
      </c>
      <c r="C106" s="422" t="s">
        <v>414</v>
      </c>
      <c r="D106" s="413">
        <v>300000</v>
      </c>
      <c r="E106" s="281">
        <f ca="1">SUMIF('3)招へい者4)受入れ体制'!$B$5:$L$29,C106,'3)招へい者4)受入れ体制'!$L$5:$L$29)</f>
        <v>0</v>
      </c>
      <c r="F106" s="279" t="str">
        <f t="shared" ca="1" si="1"/>
        <v/>
      </c>
      <c r="H106" s="279">
        <v>104</v>
      </c>
      <c r="I106" s="412" t="s">
        <v>502</v>
      </c>
      <c r="J106" s="422" t="s">
        <v>509</v>
      </c>
    </row>
    <row r="107" spans="1:10">
      <c r="A107" s="279">
        <v>104</v>
      </c>
      <c r="B107" s="412" t="s">
        <v>415</v>
      </c>
      <c r="C107" s="422" t="s">
        <v>415</v>
      </c>
      <c r="D107" s="413">
        <v>240000</v>
      </c>
      <c r="E107" s="281">
        <f ca="1">SUMIF('3)招へい者4)受入れ体制'!$B$5:$L$29,C107,'3)招へい者4)受入れ体制'!$L$5:$L$29)</f>
        <v>0</v>
      </c>
      <c r="F107" s="279" t="str">
        <f t="shared" ca="1" si="1"/>
        <v/>
      </c>
      <c r="H107" s="279">
        <v>105</v>
      </c>
      <c r="I107" s="412" t="s">
        <v>503</v>
      </c>
      <c r="J107" s="422" t="s">
        <v>510</v>
      </c>
    </row>
    <row r="108" spans="1:10">
      <c r="A108" s="279">
        <v>105</v>
      </c>
      <c r="B108" s="412" t="s">
        <v>416</v>
      </c>
      <c r="C108" s="422" t="s">
        <v>416</v>
      </c>
      <c r="D108" s="413">
        <v>240000</v>
      </c>
      <c r="E108" s="281">
        <f ca="1">SUMIF('3)招へい者4)受入れ体制'!$B$5:$L$29,C108,'3)招へい者4)受入れ体制'!$L$5:$L$29)</f>
        <v>0</v>
      </c>
      <c r="F108" s="279" t="str">
        <f t="shared" ca="1" si="1"/>
        <v/>
      </c>
      <c r="H108" s="279">
        <v>106</v>
      </c>
      <c r="I108" s="412" t="s">
        <v>387</v>
      </c>
      <c r="J108" s="422" t="s">
        <v>387</v>
      </c>
    </row>
    <row r="109" spans="1:10">
      <c r="A109" s="279">
        <v>106</v>
      </c>
      <c r="B109" s="412" t="s">
        <v>417</v>
      </c>
      <c r="C109" s="422" t="s">
        <v>417</v>
      </c>
      <c r="D109" s="413">
        <v>300000</v>
      </c>
      <c r="E109" s="281">
        <f ca="1">SUMIF('3)招へい者4)受入れ体制'!$B$5:$L$29,C109,'3)招へい者4)受入れ体制'!$L$5:$L$29)</f>
        <v>0</v>
      </c>
      <c r="F109" s="279" t="str">
        <f t="shared" ca="1" si="1"/>
        <v/>
      </c>
      <c r="H109" s="279">
        <v>107</v>
      </c>
      <c r="I109" s="412" t="s">
        <v>388</v>
      </c>
      <c r="J109" s="422" t="s">
        <v>388</v>
      </c>
    </row>
    <row r="110" spans="1:10">
      <c r="A110" s="279">
        <v>107</v>
      </c>
      <c r="B110" s="412" t="s">
        <v>418</v>
      </c>
      <c r="C110" s="422" t="s">
        <v>418</v>
      </c>
      <c r="D110" s="413">
        <v>360000</v>
      </c>
      <c r="E110" s="281">
        <f ca="1">SUMIF('3)招へい者4)受入れ体制'!$B$5:$L$29,C110,'3)招へい者4)受入れ体制'!$L$5:$L$29)</f>
        <v>0</v>
      </c>
      <c r="F110" s="279" t="str">
        <f t="shared" ca="1" si="1"/>
        <v/>
      </c>
      <c r="H110" s="279">
        <v>108</v>
      </c>
      <c r="I110" s="412" t="s">
        <v>389</v>
      </c>
      <c r="J110" s="422" t="s">
        <v>389</v>
      </c>
    </row>
    <row r="111" spans="1:10">
      <c r="A111" s="279">
        <v>108</v>
      </c>
      <c r="B111" s="412" t="s">
        <v>577</v>
      </c>
      <c r="C111" s="422" t="s">
        <v>577</v>
      </c>
      <c r="D111" s="413">
        <v>240000</v>
      </c>
      <c r="E111" s="281">
        <f ca="1">SUMIF('3)招へい者4)受入れ体制'!$B$5:$L$29,C111,'3)招へい者4)受入れ体制'!$L$5:$L$29)</f>
        <v>0</v>
      </c>
      <c r="F111" s="279" t="str">
        <f t="shared" ca="1" si="1"/>
        <v/>
      </c>
      <c r="H111" s="279">
        <v>109</v>
      </c>
      <c r="I111" s="412" t="s">
        <v>390</v>
      </c>
      <c r="J111" s="422" t="s">
        <v>390</v>
      </c>
    </row>
    <row r="112" spans="1:10">
      <c r="A112" s="279">
        <v>109</v>
      </c>
      <c r="B112" s="412" t="s">
        <v>420</v>
      </c>
      <c r="C112" s="422" t="s">
        <v>420</v>
      </c>
      <c r="D112" s="413">
        <v>240000</v>
      </c>
      <c r="E112" s="281">
        <f ca="1">SUMIF('3)招へい者4)受入れ体制'!$B$5:$L$29,C112,'3)招へい者4)受入れ体制'!$L$5:$L$29)</f>
        <v>0</v>
      </c>
      <c r="F112" s="279" t="str">
        <f t="shared" ca="1" si="1"/>
        <v/>
      </c>
      <c r="H112" s="279">
        <v>110</v>
      </c>
      <c r="I112" s="412" t="s">
        <v>391</v>
      </c>
      <c r="J112" s="422" t="s">
        <v>391</v>
      </c>
    </row>
    <row r="113" spans="1:10">
      <c r="A113" s="279">
        <v>110</v>
      </c>
      <c r="B113" s="412" t="s">
        <v>421</v>
      </c>
      <c r="C113" s="422" t="s">
        <v>422</v>
      </c>
      <c r="D113" s="413">
        <v>240000</v>
      </c>
      <c r="E113" s="281">
        <f ca="1">SUMIF('3)招へい者4)受入れ体制'!$B$5:$L$29,C113,'3)招へい者4)受入れ体制'!$L$5:$L$29)</f>
        <v>0</v>
      </c>
      <c r="F113" s="279" t="str">
        <f t="shared" ca="1" si="1"/>
        <v/>
      </c>
      <c r="H113" s="279">
        <v>111</v>
      </c>
      <c r="I113" s="412" t="s">
        <v>392</v>
      </c>
      <c r="J113" s="422" t="s">
        <v>392</v>
      </c>
    </row>
    <row r="114" spans="1:10">
      <c r="A114" s="279">
        <v>111</v>
      </c>
      <c r="B114" s="412" t="s">
        <v>423</v>
      </c>
      <c r="C114" s="422" t="s">
        <v>423</v>
      </c>
      <c r="D114" s="413">
        <v>240000</v>
      </c>
      <c r="E114" s="281">
        <f ca="1">SUMIF('3)招へい者4)受入れ体制'!$B$5:$L$29,C114,'3)招へい者4)受入れ体制'!$L$5:$L$29)</f>
        <v>0</v>
      </c>
      <c r="F114" s="279" t="str">
        <f t="shared" ca="1" si="1"/>
        <v/>
      </c>
      <c r="H114" s="279">
        <v>112</v>
      </c>
      <c r="I114" s="412" t="s">
        <v>394</v>
      </c>
      <c r="J114" s="422" t="s">
        <v>395</v>
      </c>
    </row>
    <row r="115" spans="1:10">
      <c r="A115" s="279">
        <v>112</v>
      </c>
      <c r="B115" s="412" t="s">
        <v>424</v>
      </c>
      <c r="C115" s="422" t="s">
        <v>424</v>
      </c>
      <c r="D115" s="413">
        <v>120000</v>
      </c>
      <c r="E115" s="281">
        <f ca="1">SUMIF('3)招へい者4)受入れ体制'!$B$5:$L$29,C115,'3)招へい者4)受入れ体制'!$L$5:$L$29)</f>
        <v>0</v>
      </c>
      <c r="F115" s="279" t="str">
        <f t="shared" ca="1" si="1"/>
        <v/>
      </c>
      <c r="H115" s="279">
        <v>113</v>
      </c>
      <c r="I115" s="412" t="s">
        <v>504</v>
      </c>
      <c r="J115" s="422" t="s">
        <v>393</v>
      </c>
    </row>
    <row r="116" spans="1:10">
      <c r="A116" s="279">
        <v>113</v>
      </c>
      <c r="B116" s="412" t="s">
        <v>426</v>
      </c>
      <c r="C116" s="422" t="s">
        <v>426</v>
      </c>
      <c r="D116" s="413">
        <v>240000</v>
      </c>
      <c r="E116" s="281">
        <f ca="1">SUMIF('3)招へい者4)受入れ体制'!$B$5:$L$29,C116,'3)招へい者4)受入れ体制'!$L$5:$L$29)</f>
        <v>0</v>
      </c>
      <c r="F116" s="279" t="str">
        <f t="shared" ca="1" si="1"/>
        <v/>
      </c>
      <c r="H116" s="279">
        <v>114</v>
      </c>
      <c r="I116" s="412" t="s">
        <v>396</v>
      </c>
      <c r="J116" s="422" t="s">
        <v>396</v>
      </c>
    </row>
    <row r="117" spans="1:10">
      <c r="A117" s="279">
        <v>114</v>
      </c>
      <c r="B117" s="412" t="s">
        <v>427</v>
      </c>
      <c r="C117" s="422" t="s">
        <v>427</v>
      </c>
      <c r="D117" s="413">
        <v>360000</v>
      </c>
      <c r="E117" s="281">
        <f ca="1">SUMIF('3)招へい者4)受入れ体制'!$B$5:$L$29,C117,'3)招へい者4)受入れ体制'!$L$5:$L$29)</f>
        <v>0</v>
      </c>
      <c r="F117" s="279" t="str">
        <f t="shared" ca="1" si="1"/>
        <v/>
      </c>
      <c r="H117" s="279">
        <v>115</v>
      </c>
      <c r="I117" s="412" t="s">
        <v>22</v>
      </c>
      <c r="J117" s="422" t="s">
        <v>22</v>
      </c>
    </row>
    <row r="118" spans="1:10">
      <c r="A118" s="279">
        <v>115</v>
      </c>
      <c r="B118" s="412" t="s">
        <v>430</v>
      </c>
      <c r="C118" s="422" t="s">
        <v>430</v>
      </c>
      <c r="D118" s="413">
        <v>300000</v>
      </c>
      <c r="E118" s="281">
        <f ca="1">SUMIF('3)招へい者4)受入れ体制'!$B$5:$L$29,C118,'3)招へい者4)受入れ体制'!$L$5:$L$29)</f>
        <v>0</v>
      </c>
      <c r="F118" s="279" t="str">
        <f t="shared" ca="1" si="1"/>
        <v/>
      </c>
      <c r="H118" s="279">
        <v>116</v>
      </c>
      <c r="I118" s="412" t="s">
        <v>397</v>
      </c>
      <c r="J118" s="422" t="s">
        <v>397</v>
      </c>
    </row>
    <row r="119" spans="1:10">
      <c r="A119" s="279">
        <v>116</v>
      </c>
      <c r="B119" s="412" t="s">
        <v>431</v>
      </c>
      <c r="C119" s="422" t="s">
        <v>431</v>
      </c>
      <c r="D119" s="413">
        <v>240000</v>
      </c>
      <c r="E119" s="281">
        <f ca="1">SUMIF('3)招へい者4)受入れ体制'!$B$5:$L$29,C119,'3)招へい者4)受入れ体制'!$L$5:$L$29)</f>
        <v>0</v>
      </c>
      <c r="F119" s="279" t="str">
        <f t="shared" ca="1" si="1"/>
        <v/>
      </c>
      <c r="H119" s="279">
        <v>117</v>
      </c>
      <c r="I119" s="412" t="s">
        <v>398</v>
      </c>
      <c r="J119" s="422" t="s">
        <v>398</v>
      </c>
    </row>
    <row r="120" spans="1:10">
      <c r="A120" s="279">
        <v>117</v>
      </c>
      <c r="B120" s="412" t="s">
        <v>432</v>
      </c>
      <c r="C120" s="422" t="s">
        <v>432</v>
      </c>
      <c r="D120" s="413">
        <v>360000</v>
      </c>
      <c r="E120" s="281">
        <f ca="1">SUMIF('3)招へい者4)受入れ体制'!$B$5:$L$29,C120,'3)招へい者4)受入れ体制'!$L$5:$L$29)</f>
        <v>0</v>
      </c>
      <c r="F120" s="279" t="str">
        <f t="shared" ca="1" si="1"/>
        <v/>
      </c>
      <c r="H120" s="279">
        <v>118</v>
      </c>
      <c r="I120" s="412" t="s">
        <v>399</v>
      </c>
      <c r="J120" s="422" t="s">
        <v>399</v>
      </c>
    </row>
    <row r="121" spans="1:10">
      <c r="A121" s="279">
        <v>118</v>
      </c>
      <c r="B121" s="412" t="s">
        <v>433</v>
      </c>
      <c r="C121" s="422" t="s">
        <v>433</v>
      </c>
      <c r="D121" s="413">
        <v>120000</v>
      </c>
      <c r="E121" s="281">
        <f ca="1">SUMIF('3)招へい者4)受入れ体制'!$B$5:$L$29,C121,'3)招へい者4)受入れ体制'!$L$5:$L$29)</f>
        <v>0</v>
      </c>
      <c r="F121" s="279" t="str">
        <f t="shared" ca="1" si="1"/>
        <v/>
      </c>
      <c r="H121" s="279">
        <v>119</v>
      </c>
      <c r="I121" s="412" t="s">
        <v>400</v>
      </c>
      <c r="J121" s="422" t="s">
        <v>400</v>
      </c>
    </row>
    <row r="122" spans="1:10">
      <c r="A122" s="279">
        <v>119</v>
      </c>
      <c r="B122" s="412" t="s">
        <v>434</v>
      </c>
      <c r="C122" s="422" t="s">
        <v>434</v>
      </c>
      <c r="D122" s="413">
        <v>300000</v>
      </c>
      <c r="E122" s="281">
        <f ca="1">SUMIF('3)招へい者4)受入れ体制'!$B$5:$L$29,C122,'3)招へい者4)受入れ体制'!$L$5:$L$29)</f>
        <v>0</v>
      </c>
      <c r="F122" s="279" t="str">
        <f t="shared" ca="1" si="1"/>
        <v/>
      </c>
      <c r="H122" s="279">
        <v>120</v>
      </c>
      <c r="I122" s="412" t="s">
        <v>401</v>
      </c>
      <c r="J122" s="422" t="s">
        <v>401</v>
      </c>
    </row>
    <row r="123" spans="1:10">
      <c r="A123" s="279">
        <v>120</v>
      </c>
      <c r="B123" s="412" t="s">
        <v>435</v>
      </c>
      <c r="C123" s="422" t="s">
        <v>435</v>
      </c>
      <c r="D123" s="413">
        <v>480000</v>
      </c>
      <c r="E123" s="281">
        <f ca="1">SUMIF('3)招へい者4)受入れ体制'!$B$5:$L$29,C123,'3)招へい者4)受入れ体制'!$L$5:$L$29)</f>
        <v>0</v>
      </c>
      <c r="F123" s="279" t="str">
        <f t="shared" ca="1" si="1"/>
        <v/>
      </c>
      <c r="H123" s="279">
        <v>121</v>
      </c>
      <c r="I123" s="412" t="s">
        <v>402</v>
      </c>
      <c r="J123" s="422" t="s">
        <v>402</v>
      </c>
    </row>
    <row r="124" spans="1:10">
      <c r="A124" s="279">
        <v>121</v>
      </c>
      <c r="B124" s="412" t="s">
        <v>437</v>
      </c>
      <c r="C124" s="422" t="s">
        <v>437</v>
      </c>
      <c r="D124" s="413">
        <v>300000</v>
      </c>
      <c r="E124" s="281">
        <f ca="1">SUMIF('3)招へい者4)受入れ体制'!$B$5:$L$29,C124,'3)招へい者4)受入れ体制'!$L$5:$L$29)</f>
        <v>0</v>
      </c>
      <c r="F124" s="279" t="str">
        <f t="shared" ca="1" si="1"/>
        <v/>
      </c>
      <c r="H124" s="279">
        <v>122</v>
      </c>
      <c r="I124" s="412" t="s">
        <v>403</v>
      </c>
      <c r="J124" s="422" t="s">
        <v>403</v>
      </c>
    </row>
    <row r="125" spans="1:10">
      <c r="A125" s="279">
        <v>122</v>
      </c>
      <c r="B125" s="412" t="s">
        <v>438</v>
      </c>
      <c r="C125" s="422" t="s">
        <v>438</v>
      </c>
      <c r="D125" s="413">
        <v>360000</v>
      </c>
      <c r="E125" s="281">
        <f ca="1">SUMIF('3)招へい者4)受入れ体制'!$B$5:$L$29,C125,'3)招へい者4)受入れ体制'!$L$5:$L$29)</f>
        <v>0</v>
      </c>
      <c r="F125" s="279" t="str">
        <f t="shared" ca="1" si="1"/>
        <v/>
      </c>
      <c r="H125" s="279">
        <v>123</v>
      </c>
      <c r="I125" s="412" t="s">
        <v>404</v>
      </c>
      <c r="J125" s="422" t="s">
        <v>404</v>
      </c>
    </row>
    <row r="126" spans="1:10">
      <c r="A126" s="279">
        <v>123</v>
      </c>
      <c r="B126" s="412" t="s">
        <v>442</v>
      </c>
      <c r="C126" s="422" t="s">
        <v>442</v>
      </c>
      <c r="D126" s="413">
        <v>240000</v>
      </c>
      <c r="E126" s="281">
        <f ca="1">SUMIF('3)招へい者4)受入れ体制'!$B$5:$L$29,C126,'3)招へい者4)受入れ体制'!$L$5:$L$29)</f>
        <v>0</v>
      </c>
      <c r="F126" s="279" t="str">
        <f t="shared" ca="1" si="1"/>
        <v/>
      </c>
      <c r="H126" s="279">
        <v>124</v>
      </c>
      <c r="I126" s="412" t="s">
        <v>405</v>
      </c>
      <c r="J126" s="422" t="s">
        <v>405</v>
      </c>
    </row>
    <row r="127" spans="1:10">
      <c r="A127" s="279">
        <v>124</v>
      </c>
      <c r="B127" s="412" t="s">
        <v>443</v>
      </c>
      <c r="C127" s="422" t="s">
        <v>443</v>
      </c>
      <c r="D127" s="413">
        <v>300000</v>
      </c>
      <c r="E127" s="281">
        <f ca="1">SUMIF('3)招へい者4)受入れ体制'!$B$5:$L$29,C127,'3)招へい者4)受入れ体制'!$L$5:$L$29)</f>
        <v>0</v>
      </c>
      <c r="F127" s="279" t="str">
        <f t="shared" ca="1" si="1"/>
        <v/>
      </c>
      <c r="H127" s="279">
        <v>125</v>
      </c>
      <c r="I127" s="412" t="s">
        <v>406</v>
      </c>
      <c r="J127" s="422" t="s">
        <v>406</v>
      </c>
    </row>
    <row r="128" spans="1:10">
      <c r="A128" s="279">
        <v>125</v>
      </c>
      <c r="B128" s="412" t="s">
        <v>445</v>
      </c>
      <c r="C128" s="422" t="s">
        <v>445</v>
      </c>
      <c r="D128" s="413">
        <v>300000</v>
      </c>
      <c r="E128" s="281">
        <f ca="1">SUMIF('3)招へい者4)受入れ体制'!$B$5:$L$29,C128,'3)招へい者4)受入れ体制'!$L$5:$L$29)</f>
        <v>0</v>
      </c>
      <c r="F128" s="279" t="str">
        <f t="shared" ca="1" si="1"/>
        <v/>
      </c>
      <c r="H128" s="279">
        <v>126</v>
      </c>
      <c r="I128" s="412" t="s">
        <v>407</v>
      </c>
      <c r="J128" s="422" t="s">
        <v>407</v>
      </c>
    </row>
    <row r="129" spans="1:10">
      <c r="A129" s="279">
        <v>126</v>
      </c>
      <c r="B129" s="412" t="s">
        <v>446</v>
      </c>
      <c r="C129" s="422" t="s">
        <v>446</v>
      </c>
      <c r="D129" s="413">
        <v>360000</v>
      </c>
      <c r="E129" s="281">
        <f ca="1">SUMIF('3)招へい者4)受入れ体制'!$B$5:$L$29,C129,'3)招へい者4)受入れ体制'!$L$5:$L$29)</f>
        <v>0</v>
      </c>
      <c r="F129" s="279" t="str">
        <f t="shared" ca="1" si="1"/>
        <v/>
      </c>
      <c r="H129" s="279">
        <v>127</v>
      </c>
      <c r="I129" s="412" t="s">
        <v>408</v>
      </c>
      <c r="J129" s="422" t="s">
        <v>408</v>
      </c>
    </row>
    <row r="130" spans="1:10">
      <c r="A130" s="279">
        <v>127</v>
      </c>
      <c r="B130" s="412" t="s">
        <v>447</v>
      </c>
      <c r="C130" s="422" t="s">
        <v>447</v>
      </c>
      <c r="D130" s="413">
        <v>360000</v>
      </c>
      <c r="E130" s="281">
        <f ca="1">SUMIF('3)招へい者4)受入れ体制'!$B$5:$L$29,C130,'3)招へい者4)受入れ体制'!$L$5:$L$29)</f>
        <v>0</v>
      </c>
      <c r="F130" s="279" t="str">
        <f t="shared" ca="1" si="1"/>
        <v/>
      </c>
      <c r="H130" s="279">
        <v>128</v>
      </c>
      <c r="I130" s="412" t="s">
        <v>409</v>
      </c>
      <c r="J130" s="422" t="s">
        <v>409</v>
      </c>
    </row>
    <row r="131" spans="1:10">
      <c r="A131" s="279">
        <v>128</v>
      </c>
      <c r="B131" s="412" t="s">
        <v>448</v>
      </c>
      <c r="C131" s="422" t="s">
        <v>448</v>
      </c>
      <c r="D131" s="413">
        <v>300000</v>
      </c>
      <c r="E131" s="281">
        <f ca="1">SUMIF('3)招へい者4)受入れ体制'!$B$5:$L$29,C131,'3)招へい者4)受入れ体制'!$L$5:$L$29)</f>
        <v>0</v>
      </c>
      <c r="F131" s="279" t="str">
        <f t="shared" ca="1" si="1"/>
        <v/>
      </c>
      <c r="H131" s="279">
        <v>129</v>
      </c>
      <c r="I131" s="412" t="s">
        <v>410</v>
      </c>
      <c r="J131" s="422" t="s">
        <v>410</v>
      </c>
    </row>
    <row r="132" spans="1:10">
      <c r="A132" s="279">
        <v>129</v>
      </c>
      <c r="B132" s="412" t="s">
        <v>449</v>
      </c>
      <c r="C132" s="422" t="s">
        <v>449</v>
      </c>
      <c r="D132" s="413">
        <v>300000</v>
      </c>
      <c r="E132" s="281">
        <f ca="1">SUMIF('3)招へい者4)受入れ体制'!$B$5:$L$29,C132,'3)招へい者4)受入れ体制'!$L$5:$L$29)</f>
        <v>0</v>
      </c>
      <c r="F132" s="279" t="str">
        <f t="shared" ca="1" si="1"/>
        <v/>
      </c>
      <c r="H132" s="279">
        <v>130</v>
      </c>
      <c r="I132" s="412" t="s">
        <v>411</v>
      </c>
      <c r="J132" s="422" t="s">
        <v>411</v>
      </c>
    </row>
    <row r="133" spans="1:10">
      <c r="A133" s="279">
        <v>130</v>
      </c>
      <c r="B133" s="412" t="s">
        <v>20</v>
      </c>
      <c r="C133" s="422" t="s">
        <v>20</v>
      </c>
      <c r="D133" s="413">
        <v>120000</v>
      </c>
      <c r="E133" s="281">
        <f ca="1">SUMIF('3)招へい者4)受入れ体制'!$B$5:$L$29,C133,'3)招へい者4)受入れ体制'!$L$5:$L$29)</f>
        <v>0</v>
      </c>
      <c r="F133" s="279" t="str">
        <f t="shared" ref="F133:F151" ca="1" si="2">IF(E133&gt;0,C133&amp;"："&amp;E133&amp;"人","")</f>
        <v/>
      </c>
      <c r="H133" s="279">
        <v>131</v>
      </c>
      <c r="I133" s="412" t="s">
        <v>412</v>
      </c>
      <c r="J133" s="422" t="s">
        <v>412</v>
      </c>
    </row>
    <row r="134" spans="1:10">
      <c r="A134" s="279">
        <v>131</v>
      </c>
      <c r="B134" s="412" t="s">
        <v>451</v>
      </c>
      <c r="C134" s="422" t="s">
        <v>451</v>
      </c>
      <c r="D134" s="413">
        <v>240000</v>
      </c>
      <c r="E134" s="281">
        <f ca="1">SUMIF('3)招へい者4)受入れ体制'!$B$5:$L$29,C134,'3)招へい者4)受入れ体制'!$L$5:$L$29)</f>
        <v>0</v>
      </c>
      <c r="F134" s="279" t="str">
        <f t="shared" ca="1" si="2"/>
        <v/>
      </c>
      <c r="H134" s="279">
        <v>132</v>
      </c>
      <c r="I134" s="412" t="s">
        <v>413</v>
      </c>
      <c r="J134" s="422" t="s">
        <v>413</v>
      </c>
    </row>
    <row r="135" spans="1:10">
      <c r="A135" s="279">
        <v>132</v>
      </c>
      <c r="B135" s="412" t="s">
        <v>452</v>
      </c>
      <c r="C135" s="422" t="s">
        <v>578</v>
      </c>
      <c r="D135" s="413">
        <v>240000</v>
      </c>
      <c r="E135" s="281">
        <f ca="1">SUMIF('3)招へい者4)受入れ体制'!$B$5:$L$29,C135,'3)招へい者4)受入れ体制'!$L$5:$L$29)</f>
        <v>0</v>
      </c>
      <c r="F135" s="279" t="str">
        <f t="shared" ca="1" si="2"/>
        <v/>
      </c>
      <c r="H135" s="279">
        <v>133</v>
      </c>
      <c r="I135" s="412" t="s">
        <v>414</v>
      </c>
      <c r="J135" s="422" t="s">
        <v>414</v>
      </c>
    </row>
    <row r="136" spans="1:10">
      <c r="A136" s="279">
        <v>133</v>
      </c>
      <c r="B136" s="412" t="s">
        <v>453</v>
      </c>
      <c r="C136" s="422" t="s">
        <v>454</v>
      </c>
      <c r="D136" s="413">
        <v>300000</v>
      </c>
      <c r="E136" s="281">
        <f ca="1">SUMIF('3)招へい者4)受入れ体制'!$B$5:$L$29,C136,'3)招へい者4)受入れ体制'!$L$5:$L$29)</f>
        <v>0</v>
      </c>
      <c r="F136" s="279" t="str">
        <f t="shared" ca="1" si="2"/>
        <v/>
      </c>
      <c r="H136" s="279">
        <v>134</v>
      </c>
      <c r="I136" s="412" t="s">
        <v>415</v>
      </c>
      <c r="J136" s="422" t="s">
        <v>415</v>
      </c>
    </row>
    <row r="137" spans="1:10">
      <c r="A137" s="279">
        <v>134</v>
      </c>
      <c r="B137" s="412" t="s">
        <v>455</v>
      </c>
      <c r="C137" s="422" t="s">
        <v>455</v>
      </c>
      <c r="D137" s="413">
        <v>180000</v>
      </c>
      <c r="E137" s="281">
        <f ca="1">SUMIF('3)招へい者4)受入れ体制'!$B$5:$L$29,C137,'3)招へい者4)受入れ体制'!$L$5:$L$29)</f>
        <v>0</v>
      </c>
      <c r="F137" s="279" t="str">
        <f t="shared" ca="1" si="2"/>
        <v/>
      </c>
      <c r="H137" s="279">
        <v>135</v>
      </c>
      <c r="I137" s="412" t="s">
        <v>416</v>
      </c>
      <c r="J137" s="422" t="s">
        <v>416</v>
      </c>
    </row>
    <row r="138" spans="1:10">
      <c r="A138" s="279">
        <v>135</v>
      </c>
      <c r="B138" s="412" t="s">
        <v>456</v>
      </c>
      <c r="C138" s="422" t="s">
        <v>456</v>
      </c>
      <c r="D138" s="413">
        <v>300000</v>
      </c>
      <c r="E138" s="281">
        <f ca="1">SUMIF('3)招へい者4)受入れ体制'!$B$5:$L$29,C138,'3)招へい者4)受入れ体制'!$L$5:$L$29)</f>
        <v>0</v>
      </c>
      <c r="F138" s="279" t="str">
        <f t="shared" ca="1" si="2"/>
        <v/>
      </c>
      <c r="H138" s="279">
        <v>136</v>
      </c>
      <c r="I138" s="412" t="s">
        <v>417</v>
      </c>
      <c r="J138" s="422" t="s">
        <v>417</v>
      </c>
    </row>
    <row r="139" spans="1:10">
      <c r="A139" s="279">
        <v>136</v>
      </c>
      <c r="B139" s="412" t="s">
        <v>457</v>
      </c>
      <c r="C139" s="422" t="s">
        <v>457</v>
      </c>
      <c r="D139" s="413">
        <v>360000</v>
      </c>
      <c r="E139" s="281">
        <f ca="1">SUMIF('3)招へい者4)受入れ体制'!$B$5:$L$29,C139,'3)招へい者4)受入れ体制'!$L$5:$L$29)</f>
        <v>0</v>
      </c>
      <c r="F139" s="279" t="str">
        <f t="shared" ca="1" si="2"/>
        <v/>
      </c>
      <c r="H139" s="279">
        <v>137</v>
      </c>
      <c r="I139" s="412" t="s">
        <v>418</v>
      </c>
      <c r="J139" s="422" t="s">
        <v>418</v>
      </c>
    </row>
    <row r="140" spans="1:10">
      <c r="A140" s="279">
        <v>137</v>
      </c>
      <c r="B140" s="412" t="s">
        <v>458</v>
      </c>
      <c r="C140" s="422" t="s">
        <v>458</v>
      </c>
      <c r="D140" s="413">
        <v>360000</v>
      </c>
      <c r="E140" s="281">
        <f ca="1">SUMIF('3)招へい者4)受入れ体制'!$B$5:$L$29,C140,'3)招へい者4)受入れ体制'!$L$5:$L$29)</f>
        <v>0</v>
      </c>
      <c r="F140" s="279" t="str">
        <f t="shared" ca="1" si="2"/>
        <v/>
      </c>
      <c r="H140" s="279">
        <v>138</v>
      </c>
      <c r="I140" s="412" t="s">
        <v>513</v>
      </c>
      <c r="J140" s="422" t="s">
        <v>513</v>
      </c>
    </row>
    <row r="141" spans="1:10">
      <c r="A141" s="279">
        <v>138</v>
      </c>
      <c r="B141" s="412" t="s">
        <v>459</v>
      </c>
      <c r="C141" s="422" t="s">
        <v>459</v>
      </c>
      <c r="D141" s="413">
        <v>240000</v>
      </c>
      <c r="E141" s="281">
        <f ca="1">SUMIF('3)招へい者4)受入れ体制'!$B$5:$L$29,C141,'3)招へい者4)受入れ体制'!$L$5:$L$29)</f>
        <v>0</v>
      </c>
      <c r="F141" s="279" t="str">
        <f t="shared" ref="F141" ca="1" si="3">IF(E141&gt;0,C141&amp;"："&amp;E141&amp;"人","")</f>
        <v/>
      </c>
      <c r="H141" s="279">
        <v>139</v>
      </c>
      <c r="I141" s="412" t="s">
        <v>419</v>
      </c>
      <c r="J141" s="422" t="s">
        <v>419</v>
      </c>
    </row>
    <row r="142" spans="1:10">
      <c r="A142" s="279">
        <v>139</v>
      </c>
      <c r="B142" s="412" t="s">
        <v>461</v>
      </c>
      <c r="C142" s="422" t="s">
        <v>461</v>
      </c>
      <c r="D142" s="413">
        <v>180000</v>
      </c>
      <c r="E142" s="281">
        <f ca="1">SUMIF('3)招へい者4)受入れ体制'!$B$5:$L$29,C142,'3)招へい者4)受入れ体制'!$L$5:$L$29)</f>
        <v>0</v>
      </c>
      <c r="F142" s="279" t="str">
        <f t="shared" ca="1" si="2"/>
        <v/>
      </c>
      <c r="H142" s="279">
        <v>140</v>
      </c>
      <c r="I142" s="412" t="s">
        <v>420</v>
      </c>
      <c r="J142" s="422" t="s">
        <v>420</v>
      </c>
    </row>
    <row r="143" spans="1:10">
      <c r="A143" s="279">
        <v>140</v>
      </c>
      <c r="B143" s="412" t="s">
        <v>463</v>
      </c>
      <c r="C143" s="422" t="s">
        <v>463</v>
      </c>
      <c r="D143" s="413">
        <v>240000</v>
      </c>
      <c r="E143" s="281">
        <f ca="1">SUMIF('3)招へい者4)受入れ体制'!$B$5:$L$29,C143,'3)招へい者4)受入れ体制'!$L$5:$L$29)</f>
        <v>0</v>
      </c>
      <c r="F143" s="279" t="str">
        <f t="shared" ca="1" si="2"/>
        <v/>
      </c>
      <c r="H143" s="279">
        <v>141</v>
      </c>
      <c r="I143" s="412" t="s">
        <v>421</v>
      </c>
      <c r="J143" s="422" t="s">
        <v>422</v>
      </c>
    </row>
    <row r="144" spans="1:10">
      <c r="A144" s="279">
        <v>141</v>
      </c>
      <c r="B144" s="412" t="s">
        <v>464</v>
      </c>
      <c r="C144" s="422" t="s">
        <v>464</v>
      </c>
      <c r="D144" s="413">
        <v>180000</v>
      </c>
      <c r="E144" s="281">
        <f ca="1">SUMIF('3)招へい者4)受入れ体制'!$B$5:$L$29,C144,'3)招へい者4)受入れ体制'!$L$5:$L$29)</f>
        <v>0</v>
      </c>
      <c r="F144" s="279" t="str">
        <f t="shared" ca="1" si="2"/>
        <v/>
      </c>
      <c r="H144" s="279">
        <v>142</v>
      </c>
      <c r="I144" s="412" t="s">
        <v>423</v>
      </c>
      <c r="J144" s="422" t="s">
        <v>423</v>
      </c>
    </row>
    <row r="145" spans="1:10">
      <c r="A145" s="279">
        <v>142</v>
      </c>
      <c r="B145" s="412" t="s">
        <v>466</v>
      </c>
      <c r="C145" s="422" t="s">
        <v>466</v>
      </c>
      <c r="D145" s="413">
        <v>240000</v>
      </c>
      <c r="E145" s="281">
        <f ca="1">SUMIF('3)招へい者4)受入れ体制'!$B$5:$L$29,C145,'3)招へい者4)受入れ体制'!$L$5:$L$29)</f>
        <v>0</v>
      </c>
      <c r="F145" s="279" t="str">
        <f t="shared" ca="1" si="2"/>
        <v/>
      </c>
      <c r="H145" s="279">
        <v>143</v>
      </c>
      <c r="I145" s="412" t="s">
        <v>424</v>
      </c>
      <c r="J145" s="422" t="s">
        <v>424</v>
      </c>
    </row>
    <row r="146" spans="1:10">
      <c r="A146" s="279">
        <v>143</v>
      </c>
      <c r="B146" s="412" t="s">
        <v>467</v>
      </c>
      <c r="C146" s="422" t="s">
        <v>467</v>
      </c>
      <c r="D146" s="413">
        <v>180000</v>
      </c>
      <c r="E146" s="281">
        <f ca="1">SUMIF('3)招へい者4)受入れ体制'!$B$5:$L$29,C146,'3)招へい者4)受入れ体制'!$L$5:$L$29)</f>
        <v>0</v>
      </c>
      <c r="F146" s="279" t="str">
        <f t="shared" ca="1" si="2"/>
        <v/>
      </c>
      <c r="H146" s="279">
        <v>144</v>
      </c>
      <c r="I146" s="412" t="s">
        <v>425</v>
      </c>
      <c r="J146" s="422" t="s">
        <v>425</v>
      </c>
    </row>
    <row r="147" spans="1:10">
      <c r="A147" s="279">
        <v>144</v>
      </c>
      <c r="B147" s="412" t="s">
        <v>470</v>
      </c>
      <c r="C147" s="422" t="s">
        <v>470</v>
      </c>
      <c r="D147" s="413">
        <v>240000</v>
      </c>
      <c r="E147" s="281">
        <f ca="1">SUMIF('3)招へい者4)受入れ体制'!$B$5:$L$29,C147,'3)招へい者4)受入れ体制'!$L$5:$L$29)</f>
        <v>0</v>
      </c>
      <c r="F147" s="279" t="str">
        <f t="shared" ca="1" si="2"/>
        <v/>
      </c>
      <c r="H147" s="279">
        <v>145</v>
      </c>
      <c r="I147" s="412" t="s">
        <v>426</v>
      </c>
      <c r="J147" s="422" t="s">
        <v>426</v>
      </c>
    </row>
    <row r="148" spans="1:10">
      <c r="A148" s="279">
        <v>145</v>
      </c>
      <c r="B148" s="412" t="s">
        <v>472</v>
      </c>
      <c r="C148" s="422" t="s">
        <v>472</v>
      </c>
      <c r="D148" s="413">
        <v>360000</v>
      </c>
      <c r="E148" s="281">
        <f ca="1">SUMIF('3)招へい者4)受入れ体制'!$B$5:$L$29,C148,'3)招へい者4)受入れ体制'!$L$5:$L$29)</f>
        <v>0</v>
      </c>
      <c r="F148" s="279" t="str">
        <f t="shared" ca="1" si="2"/>
        <v/>
      </c>
      <c r="H148" s="279">
        <v>146</v>
      </c>
      <c r="I148" s="412" t="s">
        <v>427</v>
      </c>
      <c r="J148" s="422" t="s">
        <v>427</v>
      </c>
    </row>
    <row r="149" spans="1:10">
      <c r="A149" s="279">
        <v>146</v>
      </c>
      <c r="B149" s="412" t="s">
        <v>475</v>
      </c>
      <c r="C149" s="422" t="s">
        <v>475</v>
      </c>
      <c r="D149" s="413">
        <v>240000</v>
      </c>
      <c r="E149" s="281">
        <f ca="1">SUMIF('3)招へい者4)受入れ体制'!$B$5:$L$29,C149,'3)招へい者4)受入れ体制'!$L$5:$L$29)</f>
        <v>0</v>
      </c>
      <c r="F149" s="279" t="str">
        <f t="shared" ca="1" si="2"/>
        <v/>
      </c>
      <c r="H149" s="279">
        <v>147</v>
      </c>
      <c r="I149" s="412" t="s">
        <v>428</v>
      </c>
      <c r="J149" s="422" t="s">
        <v>428</v>
      </c>
    </row>
    <row r="150" spans="1:10">
      <c r="A150" s="279">
        <v>147</v>
      </c>
      <c r="B150" s="412" t="s">
        <v>476</v>
      </c>
      <c r="C150" s="422" t="s">
        <v>476</v>
      </c>
      <c r="D150" s="413">
        <v>300000</v>
      </c>
      <c r="E150" s="281">
        <f ca="1">SUMIF('3)招へい者4)受入れ体制'!$B$5:$L$29,C150,'3)招へい者4)受入れ体制'!$L$5:$L$29)</f>
        <v>0</v>
      </c>
      <c r="F150" s="279" t="str">
        <f t="shared" ca="1" si="2"/>
        <v/>
      </c>
      <c r="H150" s="279">
        <v>148</v>
      </c>
      <c r="I150" s="412" t="s">
        <v>429</v>
      </c>
      <c r="J150" s="422" t="s">
        <v>429</v>
      </c>
    </row>
    <row r="151" spans="1:10" ht="15" thickBot="1">
      <c r="A151" s="279">
        <v>148</v>
      </c>
      <c r="B151" s="412" t="s">
        <v>477</v>
      </c>
      <c r="C151" s="423" t="s">
        <v>477</v>
      </c>
      <c r="D151" s="413">
        <v>240000</v>
      </c>
      <c r="E151" s="281">
        <f ca="1">SUMIF('3)招へい者4)受入れ体制'!$B$5:$L$29,C151,'3)招へい者4)受入れ体制'!$L$5:$L$29)</f>
        <v>0</v>
      </c>
      <c r="F151" s="279" t="str">
        <f t="shared" ca="1" si="2"/>
        <v/>
      </c>
      <c r="H151" s="279">
        <v>149</v>
      </c>
      <c r="I151" s="412" t="s">
        <v>430</v>
      </c>
      <c r="J151" s="422" t="s">
        <v>430</v>
      </c>
    </row>
    <row r="152" spans="1:10" ht="15.75" thickTop="1" thickBot="1">
      <c r="A152" s="279"/>
      <c r="B152" s="279"/>
      <c r="C152" s="279" t="s">
        <v>133</v>
      </c>
      <c r="D152" s="412"/>
      <c r="E152" s="415">
        <f ca="1">SUM(E3:E151)</f>
        <v>0</v>
      </c>
      <c r="F152" s="416" t="str">
        <f ca="1">_xlfn.TEXTJOIN(",　",TRUE,$F$4:$F$151)</f>
        <v/>
      </c>
      <c r="H152" s="279">
        <v>150</v>
      </c>
      <c r="I152" s="412" t="s">
        <v>431</v>
      </c>
      <c r="J152" s="422" t="s">
        <v>431</v>
      </c>
    </row>
    <row r="153" spans="1:10" ht="15" thickTop="1">
      <c r="H153" s="279">
        <v>151</v>
      </c>
      <c r="I153" s="412" t="s">
        <v>432</v>
      </c>
      <c r="J153" s="422" t="s">
        <v>432</v>
      </c>
    </row>
    <row r="154" spans="1:10" ht="17.25" thickBot="1">
      <c r="A154" s="1179" t="s">
        <v>481</v>
      </c>
      <c r="B154" s="1180"/>
      <c r="C154" s="1180"/>
      <c r="D154" s="1180"/>
      <c r="H154" s="279">
        <v>152</v>
      </c>
      <c r="I154" s="412" t="s">
        <v>433</v>
      </c>
      <c r="J154" s="422" t="s">
        <v>433</v>
      </c>
    </row>
    <row r="155" spans="1:10" ht="17.25" thickTop="1">
      <c r="A155" s="282"/>
      <c r="B155" s="283"/>
      <c r="C155" s="421" t="s">
        <v>23</v>
      </c>
      <c r="D155" s="284"/>
      <c r="H155" s="279">
        <v>153</v>
      </c>
      <c r="I155" s="412" t="s">
        <v>434</v>
      </c>
      <c r="J155" s="422" t="s">
        <v>434</v>
      </c>
    </row>
    <row r="156" spans="1:10">
      <c r="A156" s="279">
        <v>1</v>
      </c>
      <c r="B156" s="409" t="str">
        <f>'3)招へい者4)受入れ体制'!B5</f>
        <v/>
      </c>
      <c r="C156" s="424" t="str" cm="1">
        <f t="array" ref="C156">IF(ROWS(B$156:B156)&lt;=COUNT($D$156:$D$180),INDEX(B:B,SMALL(D$156:D$180,ROWS(B$156:B156))),"")</f>
        <v/>
      </c>
      <c r="D156" s="285">
        <f>IF(COUNTIF($B$156:B156,B156)=1,ROW(),"")</f>
        <v>156</v>
      </c>
      <c r="F156" s="2" t="str" cm="1">
        <f t="array" aca="1" ref="F156" ca="1">INDIRECT("隠しシート!$ｃ$155:ｃ"&amp;180-COUNTBLANK(送出し国リスト))</f>
        <v>※選択してください</v>
      </c>
      <c r="H156" s="279">
        <v>154</v>
      </c>
      <c r="I156" s="412" t="s">
        <v>435</v>
      </c>
      <c r="J156" s="422" t="s">
        <v>435</v>
      </c>
    </row>
    <row r="157" spans="1:10">
      <c r="A157" s="279">
        <v>2</v>
      </c>
      <c r="B157" s="409" t="str">
        <f>'3)招へい者4)受入れ体制'!B6</f>
        <v/>
      </c>
      <c r="C157" s="424" t="str" cm="1">
        <f t="array" ref="C157">IF(ROWS(B$156:B157)&lt;=COUNT($D$156:$D$180),INDEX(B:B,SMALL(D$156:D$180,ROWS(B$156:B157))),"")</f>
        <v/>
      </c>
      <c r="D157" s="285" t="str">
        <f>IF(COUNTIF($B$156:B157,B157)=1,ROW(),"")</f>
        <v/>
      </c>
      <c r="H157" s="279">
        <v>155</v>
      </c>
      <c r="I157" s="412" t="s">
        <v>436</v>
      </c>
      <c r="J157" s="422" t="s">
        <v>436</v>
      </c>
    </row>
    <row r="158" spans="1:10">
      <c r="A158" s="279">
        <v>3</v>
      </c>
      <c r="B158" s="409" t="str">
        <f>'3)招へい者4)受入れ体制'!B7</f>
        <v/>
      </c>
      <c r="C158" s="424" t="str" cm="1">
        <f t="array" ref="C158">IF(ROWS(B$156:B158)&lt;=COUNT($D$156:$D$180),INDEX(B:B,SMALL(D$156:D$180,ROWS(B$156:B158))),"")</f>
        <v/>
      </c>
      <c r="D158" s="285" t="str">
        <f>IF(COUNTIF($B$156:B158,B158)=1,ROW(),"")</f>
        <v/>
      </c>
      <c r="H158" s="279">
        <v>156</v>
      </c>
      <c r="I158" s="412" t="s">
        <v>437</v>
      </c>
      <c r="J158" s="422" t="s">
        <v>437</v>
      </c>
    </row>
    <row r="159" spans="1:10">
      <c r="A159" s="279">
        <v>4</v>
      </c>
      <c r="B159" s="409" t="str">
        <f>'3)招へい者4)受入れ体制'!B8</f>
        <v/>
      </c>
      <c r="C159" s="424" t="str" cm="1">
        <f t="array" ref="C159">IF(ROWS(B$156:B159)&lt;=COUNT($D$156:$D$180),INDEX(B:B,SMALL(D$156:D$180,ROWS(B$156:B159))),"")</f>
        <v/>
      </c>
      <c r="D159" s="285" t="str">
        <f>IF(COUNTIF($B$156:B159,B159)=1,ROW(),"")</f>
        <v/>
      </c>
      <c r="H159" s="279">
        <v>157</v>
      </c>
      <c r="I159" s="412" t="s">
        <v>438</v>
      </c>
      <c r="J159" s="422" t="s">
        <v>438</v>
      </c>
    </row>
    <row r="160" spans="1:10">
      <c r="A160" s="279">
        <v>5</v>
      </c>
      <c r="B160" s="409" t="str">
        <f>'3)招へい者4)受入れ体制'!B9</f>
        <v/>
      </c>
      <c r="C160" s="424" t="str" cm="1">
        <f t="array" ref="C160">IF(ROWS(B$156:B160)&lt;=COUNT($D$156:$D$180),INDEX(B:B,SMALL(D$156:D$180,ROWS(B$156:B160))),"")</f>
        <v/>
      </c>
      <c r="D160" s="285" t="str">
        <f>IF(COUNTIF($B$156:B160,B160)=1,ROW(),"")</f>
        <v/>
      </c>
      <c r="H160" s="279">
        <v>158</v>
      </c>
      <c r="I160" s="412" t="s">
        <v>439</v>
      </c>
      <c r="J160" s="422" t="s">
        <v>439</v>
      </c>
    </row>
    <row r="161" spans="1:10">
      <c r="A161" s="279">
        <v>6</v>
      </c>
      <c r="B161" s="409" t="str">
        <f>'3)招へい者4)受入れ体制'!B10</f>
        <v/>
      </c>
      <c r="C161" s="424" t="str" cm="1">
        <f t="array" ref="C161">IF(ROWS(B$156:B161)&lt;=COUNT($D$156:$D$180),INDEX(B:B,SMALL(D$156:D$180,ROWS(B$156:B161))),"")</f>
        <v/>
      </c>
      <c r="D161" s="285" t="str">
        <f>IF(COUNTIF($B$156:B161,B161)=1,ROW(),"")</f>
        <v/>
      </c>
      <c r="H161" s="279">
        <v>159</v>
      </c>
      <c r="I161" s="412" t="s">
        <v>440</v>
      </c>
      <c r="J161" s="422" t="s">
        <v>440</v>
      </c>
    </row>
    <row r="162" spans="1:10">
      <c r="A162" s="279">
        <v>7</v>
      </c>
      <c r="B162" s="409" t="str">
        <f>'3)招へい者4)受入れ体制'!B11</f>
        <v/>
      </c>
      <c r="C162" s="424" t="str" cm="1">
        <f t="array" ref="C162">IF(ROWS(B$156:B162)&lt;=COUNT($D$156:$D$180),INDEX(B:B,SMALL(D$156:D$180,ROWS(B$156:B162))),"")</f>
        <v/>
      </c>
      <c r="D162" s="285" t="str">
        <f>IF(COUNTIF($B$156:B162,B162)=1,ROW(),"")</f>
        <v/>
      </c>
      <c r="H162" s="279">
        <v>160</v>
      </c>
      <c r="I162" s="412" t="s">
        <v>441</v>
      </c>
      <c r="J162" s="422" t="s">
        <v>441</v>
      </c>
    </row>
    <row r="163" spans="1:10">
      <c r="A163" s="279">
        <v>8</v>
      </c>
      <c r="B163" s="409" t="str">
        <f>'3)招へい者4)受入れ体制'!B12</f>
        <v/>
      </c>
      <c r="C163" s="424" t="str" cm="1">
        <f t="array" ref="C163">IF(ROWS(B$156:B163)&lt;=COUNT($D$156:$D$180),INDEX(B:B,SMALL(D$156:D$180,ROWS(B$156:B163))),"")</f>
        <v/>
      </c>
      <c r="D163" s="285" t="str">
        <f>IF(COUNTIF($B$156:B163,B163)=1,ROW(),"")</f>
        <v/>
      </c>
      <c r="H163" s="279">
        <v>161</v>
      </c>
      <c r="I163" s="412" t="s">
        <v>442</v>
      </c>
      <c r="J163" s="422" t="s">
        <v>442</v>
      </c>
    </row>
    <row r="164" spans="1:10">
      <c r="A164" s="279">
        <v>9</v>
      </c>
      <c r="B164" s="409" t="str">
        <f>'3)招へい者4)受入れ体制'!B13</f>
        <v/>
      </c>
      <c r="C164" s="424" t="str" cm="1">
        <f t="array" ref="C164">IF(ROWS(B$156:B164)&lt;=COUNT($D$156:$D$180),INDEX(B:B,SMALL(D$156:D$180,ROWS(B$156:B164))),"")</f>
        <v/>
      </c>
      <c r="D164" s="285" t="str">
        <f>IF(COUNTIF($B$156:B164,B164)=1,ROW(),"")</f>
        <v/>
      </c>
      <c r="H164" s="279">
        <v>162</v>
      </c>
      <c r="I164" s="412" t="s">
        <v>443</v>
      </c>
      <c r="J164" s="422" t="s">
        <v>443</v>
      </c>
    </row>
    <row r="165" spans="1:10">
      <c r="A165" s="279">
        <v>10</v>
      </c>
      <c r="B165" s="409" t="str">
        <f>'3)招へい者4)受入れ体制'!B14</f>
        <v/>
      </c>
      <c r="C165" s="424" t="str" cm="1">
        <f t="array" ref="C165">IF(ROWS(B$156:B165)&lt;=COUNT($D$156:$D$180),INDEX(B:B,SMALL(D$156:D$180,ROWS(B$156:B165))),"")</f>
        <v/>
      </c>
      <c r="D165" s="285" t="str">
        <f>IF(COUNTIF($B$156:B165,B165)=1,ROW(),"")</f>
        <v/>
      </c>
      <c r="H165" s="279">
        <v>163</v>
      </c>
      <c r="I165" s="412" t="s">
        <v>444</v>
      </c>
      <c r="J165" s="422" t="s">
        <v>444</v>
      </c>
    </row>
    <row r="166" spans="1:10">
      <c r="A166" s="279">
        <v>11</v>
      </c>
      <c r="B166" s="409" t="str">
        <f>'3)招へい者4)受入れ体制'!B15</f>
        <v/>
      </c>
      <c r="C166" s="424" t="str" cm="1">
        <f t="array" ref="C166">IF(ROWS(B$156:B166)&lt;=COUNT($D$156:$D$180),INDEX(B:B,SMALL(D$156:D$180,ROWS(B$156:B166))),"")</f>
        <v/>
      </c>
      <c r="D166" s="285" t="str">
        <f>IF(COUNTIF($B$156:B166,B166)=1,ROW(),"")</f>
        <v/>
      </c>
      <c r="H166" s="279">
        <v>164</v>
      </c>
      <c r="I166" s="412" t="s">
        <v>445</v>
      </c>
      <c r="J166" s="422" t="s">
        <v>445</v>
      </c>
    </row>
    <row r="167" spans="1:10">
      <c r="A167" s="279">
        <v>12</v>
      </c>
      <c r="B167" s="409" t="str">
        <f>'3)招へい者4)受入れ体制'!B16</f>
        <v/>
      </c>
      <c r="C167" s="424" t="str" cm="1">
        <f t="array" ref="C167">IF(ROWS(B$156:B167)&lt;=COUNT($D$156:$D$180),INDEX(B:B,SMALL(D$156:D$180,ROWS(B$156:B167))),"")</f>
        <v/>
      </c>
      <c r="D167" s="285" t="str">
        <f>IF(COUNTIF($B$156:B167,B167)=1,ROW(),"")</f>
        <v/>
      </c>
      <c r="H167" s="279">
        <v>165</v>
      </c>
      <c r="I167" s="412" t="s">
        <v>446</v>
      </c>
      <c r="J167" s="422" t="s">
        <v>446</v>
      </c>
    </row>
    <row r="168" spans="1:10">
      <c r="A168" s="279">
        <v>13</v>
      </c>
      <c r="B168" s="409" t="str">
        <f>'3)招へい者4)受入れ体制'!B17</f>
        <v/>
      </c>
      <c r="C168" s="424" t="str" cm="1">
        <f t="array" ref="C168">IF(ROWS(B$156:B168)&lt;=COUNT($D$156:$D$180),INDEX(B:B,SMALL(D$156:D$180,ROWS(B$156:B168))),"")</f>
        <v/>
      </c>
      <c r="D168" s="285" t="str">
        <f>IF(COUNTIF($B$156:B168,B168)=1,ROW(),"")</f>
        <v/>
      </c>
      <c r="H168" s="279">
        <v>166</v>
      </c>
      <c r="I168" s="412" t="s">
        <v>447</v>
      </c>
      <c r="J168" s="422" t="s">
        <v>447</v>
      </c>
    </row>
    <row r="169" spans="1:10">
      <c r="A169" s="279">
        <v>14</v>
      </c>
      <c r="B169" s="409" t="str">
        <f>'3)招へい者4)受入れ体制'!B18</f>
        <v/>
      </c>
      <c r="C169" s="424" t="str" cm="1">
        <f t="array" ref="C169">IF(ROWS(B$156:B169)&lt;=COUNT($D$156:$D$180),INDEX(B:B,SMALL(D$156:D$180,ROWS(B$156:B169))),"")</f>
        <v/>
      </c>
      <c r="D169" s="285" t="str">
        <f>IF(COUNTIF($B$156:B169,B169)=1,ROW(),"")</f>
        <v/>
      </c>
      <c r="H169" s="279">
        <v>167</v>
      </c>
      <c r="I169" s="412" t="s">
        <v>448</v>
      </c>
      <c r="J169" s="422" t="s">
        <v>448</v>
      </c>
    </row>
    <row r="170" spans="1:10">
      <c r="A170" s="279">
        <v>15</v>
      </c>
      <c r="B170" s="409" t="str">
        <f>'3)招へい者4)受入れ体制'!B19</f>
        <v/>
      </c>
      <c r="C170" s="424" t="str" cm="1">
        <f t="array" ref="C170">IF(ROWS(B$156:B170)&lt;=COUNT($D$156:$D$180),INDEX(B:B,SMALL(D$156:D$180,ROWS(B$156:B170))),"")</f>
        <v/>
      </c>
      <c r="D170" s="285" t="str">
        <f>IF(COUNTIF($B$156:B170,B170)=1,ROW(),"")</f>
        <v/>
      </c>
      <c r="H170" s="279">
        <v>168</v>
      </c>
      <c r="I170" s="412" t="s">
        <v>449</v>
      </c>
      <c r="J170" s="422" t="s">
        <v>449</v>
      </c>
    </row>
    <row r="171" spans="1:10">
      <c r="A171" s="279">
        <v>16</v>
      </c>
      <c r="B171" s="409" t="str">
        <f>'3)招へい者4)受入れ体制'!B20</f>
        <v/>
      </c>
      <c r="C171" s="424" t="str" cm="1">
        <f t="array" ref="C171">IF(ROWS(B$156:B171)&lt;=COUNT($D$156:$D$180),INDEX(B:B,SMALL(D$156:D$180,ROWS(B$156:B171))),"")</f>
        <v/>
      </c>
      <c r="D171" s="285" t="str">
        <f>IF(COUNTIF($B$156:B171,B171)=1,ROW(),"")</f>
        <v/>
      </c>
      <c r="H171" s="279">
        <v>169</v>
      </c>
      <c r="I171" s="412" t="s">
        <v>450</v>
      </c>
      <c r="J171" s="422" t="s">
        <v>450</v>
      </c>
    </row>
    <row r="172" spans="1:10">
      <c r="A172" s="279">
        <v>17</v>
      </c>
      <c r="B172" s="409" t="str">
        <f>'3)招へい者4)受入れ体制'!B21</f>
        <v/>
      </c>
      <c r="C172" s="424" t="str" cm="1">
        <f t="array" ref="C172">IF(ROWS(B$156:B172)&lt;=COUNT($D$156:$D$180),INDEX(B:B,SMALL(D$156:D$180,ROWS(B$156:B172))),"")</f>
        <v/>
      </c>
      <c r="D172" s="285" t="str">
        <f>IF(COUNTIF($B$156:B172,B172)=1,ROW(),"")</f>
        <v/>
      </c>
      <c r="H172" s="279">
        <v>170</v>
      </c>
      <c r="I172" s="412" t="s">
        <v>20</v>
      </c>
      <c r="J172" s="422" t="s">
        <v>20</v>
      </c>
    </row>
    <row r="173" spans="1:10">
      <c r="A173" s="279">
        <v>18</v>
      </c>
      <c r="B173" s="409" t="str">
        <f>'3)招へい者4)受入れ体制'!B22</f>
        <v/>
      </c>
      <c r="C173" s="424" t="str" cm="1">
        <f t="array" ref="C173">IF(ROWS(B$156:B173)&lt;=COUNT($D$156:$D$180),INDEX(B:B,SMALL(D$156:D$180,ROWS(B$156:B173))),"")</f>
        <v/>
      </c>
      <c r="D173" s="285" t="str">
        <f>IF(COUNTIF($B$156:B173,B173)=1,ROW(),"")</f>
        <v/>
      </c>
      <c r="H173" s="279">
        <v>171</v>
      </c>
      <c r="I173" s="412" t="s">
        <v>451</v>
      </c>
      <c r="J173" s="422" t="s">
        <v>451</v>
      </c>
    </row>
    <row r="174" spans="1:10">
      <c r="A174" s="279">
        <v>19</v>
      </c>
      <c r="B174" s="409" t="str">
        <f>'3)招へい者4)受入れ体制'!B23</f>
        <v/>
      </c>
      <c r="C174" s="424" t="str" cm="1">
        <f t="array" ref="C174">IF(ROWS(B$156:B174)&lt;=COUNT($D$156:$D$180),INDEX(B:B,SMALL(D$156:D$180,ROWS(B$156:B174))),"")</f>
        <v/>
      </c>
      <c r="D174" s="285" t="str">
        <f>IF(COUNTIF($B$156:B174,B174)=1,ROW(),"")</f>
        <v/>
      </c>
      <c r="H174" s="279">
        <v>172</v>
      </c>
      <c r="I174" s="412" t="s">
        <v>452</v>
      </c>
      <c r="J174" s="422" t="s">
        <v>511</v>
      </c>
    </row>
    <row r="175" spans="1:10">
      <c r="A175" s="279">
        <v>20</v>
      </c>
      <c r="B175" s="409" t="str">
        <f>'3)招へい者4)受入れ体制'!B24</f>
        <v/>
      </c>
      <c r="C175" s="424" t="str" cm="1">
        <f t="array" ref="C175">IF(ROWS(B$156:B175)&lt;=COUNT($D$156:$D$180),INDEX(B:B,SMALL(D$156:D$180,ROWS(B$156:B175))),"")</f>
        <v/>
      </c>
      <c r="D175" s="285" t="str">
        <f>IF(COUNTIF($B$156:B175,B175)=1,ROW(),"")</f>
        <v/>
      </c>
      <c r="H175" s="279">
        <v>173</v>
      </c>
      <c r="I175" s="412" t="s">
        <v>453</v>
      </c>
      <c r="J175" s="422" t="s">
        <v>454</v>
      </c>
    </row>
    <row r="176" spans="1:10">
      <c r="A176" s="279">
        <v>21</v>
      </c>
      <c r="B176" s="409" t="str">
        <f>'3)招へい者4)受入れ体制'!B25</f>
        <v/>
      </c>
      <c r="C176" s="424" t="str" cm="1">
        <f t="array" ref="C176">IF(ROWS(B$156:B176)&lt;=COUNT($D$156:$D$180),INDEX(B:B,SMALL(D$156:D$180,ROWS(B$156:B176))),"")</f>
        <v/>
      </c>
      <c r="D176" s="285" t="str">
        <f>IF(COUNTIF($B$156:B176,B176)=1,ROW(),"")</f>
        <v/>
      </c>
      <c r="H176" s="279">
        <v>174</v>
      </c>
      <c r="I176" s="412" t="s">
        <v>455</v>
      </c>
      <c r="J176" s="422" t="s">
        <v>455</v>
      </c>
    </row>
    <row r="177" spans="1:10">
      <c r="A177" s="279">
        <v>22</v>
      </c>
      <c r="B177" s="409" t="str">
        <f>'3)招へい者4)受入れ体制'!B26</f>
        <v/>
      </c>
      <c r="C177" s="424" t="str" cm="1">
        <f t="array" ref="C177">IF(ROWS(B$156:B177)&lt;=COUNT($D$156:$D$180),INDEX(B:B,SMALL(D$156:D$180,ROWS(B$156:B177))),"")</f>
        <v/>
      </c>
      <c r="D177" s="285" t="str">
        <f>IF(COUNTIF($B$156:B177,B177)=1,ROW(),"")</f>
        <v/>
      </c>
      <c r="H177" s="279">
        <v>175</v>
      </c>
      <c r="I177" s="412" t="s">
        <v>456</v>
      </c>
      <c r="J177" s="422" t="s">
        <v>456</v>
      </c>
    </row>
    <row r="178" spans="1:10">
      <c r="A178" s="279">
        <v>23</v>
      </c>
      <c r="B178" s="409" t="str">
        <f>'3)招へい者4)受入れ体制'!B27</f>
        <v/>
      </c>
      <c r="C178" s="424" t="str" cm="1">
        <f t="array" ref="C178">IF(ROWS(B$156:B178)&lt;=COUNT($D$156:$D$180),INDEX(B:B,SMALL(D$156:D$180,ROWS(B$156:B178))),"")</f>
        <v/>
      </c>
      <c r="D178" s="285" t="str">
        <f>IF(COUNTIF($B$156:B178,B178)=1,ROW(),"")</f>
        <v/>
      </c>
      <c r="H178" s="279">
        <v>176</v>
      </c>
      <c r="I178" s="412" t="s">
        <v>457</v>
      </c>
      <c r="J178" s="422" t="s">
        <v>457</v>
      </c>
    </row>
    <row r="179" spans="1:10">
      <c r="A179" s="279">
        <v>24</v>
      </c>
      <c r="B179" s="409" t="str">
        <f>'3)招へい者4)受入れ体制'!B28</f>
        <v/>
      </c>
      <c r="C179" s="424" t="str" cm="1">
        <f t="array" ref="C179">IF(ROWS(B$156:B179)&lt;=COUNT($D$156:$D$180),INDEX(B:B,SMALL(D$156:D$180,ROWS(B$156:B179))),"")</f>
        <v/>
      </c>
      <c r="D179" s="285" t="str">
        <f>IF(COUNTIF($B$156:B179,B179)=1,ROW(),"")</f>
        <v/>
      </c>
      <c r="H179" s="279">
        <v>177</v>
      </c>
      <c r="I179" s="412" t="s">
        <v>458</v>
      </c>
      <c r="J179" s="422" t="s">
        <v>458</v>
      </c>
    </row>
    <row r="180" spans="1:10">
      <c r="A180" s="279">
        <v>25</v>
      </c>
      <c r="B180" s="409" t="str">
        <f>'3)招へい者4)受入れ体制'!B29</f>
        <v/>
      </c>
      <c r="C180" s="424" t="str" cm="1">
        <f t="array" ref="C180">IF(ROWS(B$156:B180)&lt;=COUNT($D$156:$D$180),INDEX(B:B,SMALL(D$156:D$180,ROWS(B$156:B180))),"")</f>
        <v/>
      </c>
      <c r="D180" s="285" t="str">
        <f>IF(COUNTIF($B$156:B180,B180)=1,ROW(),"")</f>
        <v/>
      </c>
      <c r="H180" s="279">
        <v>178</v>
      </c>
      <c r="I180" s="412" t="s">
        <v>459</v>
      </c>
      <c r="J180" s="422" t="s">
        <v>459</v>
      </c>
    </row>
    <row r="181" spans="1:10">
      <c r="H181" s="279">
        <v>179</v>
      </c>
      <c r="I181" s="412" t="s">
        <v>460</v>
      </c>
      <c r="J181" s="422" t="s">
        <v>460</v>
      </c>
    </row>
    <row r="182" spans="1:10" ht="17.25" thickBot="1">
      <c r="A182" s="1181" t="s">
        <v>130</v>
      </c>
      <c r="B182" s="1181"/>
      <c r="H182" s="279">
        <v>180</v>
      </c>
      <c r="I182" s="412" t="s">
        <v>461</v>
      </c>
      <c r="J182" s="422" t="s">
        <v>461</v>
      </c>
    </row>
    <row r="183" spans="1:10" ht="15" thickTop="1">
      <c r="A183" s="412"/>
      <c r="B183" s="421" t="s">
        <v>97</v>
      </c>
      <c r="H183" s="279">
        <v>181</v>
      </c>
      <c r="I183" s="412" t="s">
        <v>462</v>
      </c>
      <c r="J183" s="422" t="s">
        <v>462</v>
      </c>
    </row>
    <row r="184" spans="1:10">
      <c r="A184" s="412">
        <v>1</v>
      </c>
      <c r="B184" s="422" t="s">
        <v>98</v>
      </c>
      <c r="H184" s="279">
        <v>182</v>
      </c>
      <c r="I184" s="412" t="s">
        <v>463</v>
      </c>
      <c r="J184" s="422" t="s">
        <v>463</v>
      </c>
    </row>
    <row r="185" spans="1:10">
      <c r="A185" s="412">
        <v>2</v>
      </c>
      <c r="B185" s="422" t="s">
        <v>135</v>
      </c>
      <c r="H185" s="279">
        <v>183</v>
      </c>
      <c r="I185" s="412" t="s">
        <v>464</v>
      </c>
      <c r="J185" s="422" t="s">
        <v>464</v>
      </c>
    </row>
    <row r="186" spans="1:10">
      <c r="A186" s="412">
        <v>3</v>
      </c>
      <c r="B186" s="422" t="s">
        <v>134</v>
      </c>
      <c r="H186" s="279">
        <v>184</v>
      </c>
      <c r="I186" s="412" t="s">
        <v>465</v>
      </c>
      <c r="J186" s="422" t="s">
        <v>465</v>
      </c>
    </row>
    <row r="187" spans="1:10">
      <c r="A187" s="412">
        <v>4</v>
      </c>
      <c r="B187" s="422" t="s">
        <v>140</v>
      </c>
      <c r="H187" s="279">
        <v>185</v>
      </c>
      <c r="I187" s="412" t="s">
        <v>466</v>
      </c>
      <c r="J187" s="422" t="s">
        <v>466</v>
      </c>
    </row>
    <row r="188" spans="1:10">
      <c r="A188" s="412">
        <v>5</v>
      </c>
      <c r="B188" s="422" t="s">
        <v>141</v>
      </c>
      <c r="H188" s="279">
        <v>186</v>
      </c>
      <c r="I188" s="412" t="s">
        <v>467</v>
      </c>
      <c r="J188" s="422" t="s">
        <v>467</v>
      </c>
    </row>
    <row r="189" spans="1:10" ht="15" thickBot="1">
      <c r="A189" s="412">
        <v>6</v>
      </c>
      <c r="B189" s="423" t="s">
        <v>142</v>
      </c>
      <c r="H189" s="279">
        <v>187</v>
      </c>
      <c r="I189" s="412" t="s">
        <v>468</v>
      </c>
      <c r="J189" s="422" t="s">
        <v>468</v>
      </c>
    </row>
    <row r="190" spans="1:10" ht="15" thickTop="1">
      <c r="H190" s="279">
        <v>188</v>
      </c>
      <c r="I190" s="412" t="s">
        <v>469</v>
      </c>
      <c r="J190" s="422" t="s">
        <v>469</v>
      </c>
    </row>
    <row r="191" spans="1:10" ht="16.5">
      <c r="A191" s="1182" t="s">
        <v>132</v>
      </c>
      <c r="B191" s="1181"/>
      <c r="D191" s="286"/>
      <c r="H191" s="279">
        <v>189</v>
      </c>
      <c r="I191" s="412" t="s">
        <v>470</v>
      </c>
      <c r="J191" s="422" t="s">
        <v>470</v>
      </c>
    </row>
    <row r="192" spans="1:10">
      <c r="A192" s="467"/>
      <c r="B192" s="468" t="s">
        <v>79</v>
      </c>
      <c r="C192" s="410"/>
      <c r="H192" s="279">
        <v>190</v>
      </c>
      <c r="I192" s="412" t="s">
        <v>471</v>
      </c>
      <c r="J192" s="422" t="s">
        <v>471</v>
      </c>
    </row>
    <row r="193" spans="1:10">
      <c r="A193" s="467">
        <v>1</v>
      </c>
      <c r="B193" s="467" t="s">
        <v>601</v>
      </c>
      <c r="H193" s="279">
        <v>191</v>
      </c>
      <c r="I193" s="412" t="s">
        <v>472</v>
      </c>
      <c r="J193" s="422" t="s">
        <v>472</v>
      </c>
    </row>
    <row r="194" spans="1:10">
      <c r="A194" s="467">
        <v>2</v>
      </c>
      <c r="B194" s="467" t="s">
        <v>603</v>
      </c>
      <c r="H194" s="279">
        <v>192</v>
      </c>
      <c r="I194" s="412" t="s">
        <v>473</v>
      </c>
      <c r="J194" s="422" t="s">
        <v>473</v>
      </c>
    </row>
    <row r="195" spans="1:10">
      <c r="A195" s="467">
        <v>3</v>
      </c>
      <c r="B195" s="467" t="s">
        <v>604</v>
      </c>
      <c r="H195" s="279">
        <v>193</v>
      </c>
      <c r="I195" s="412" t="s">
        <v>474</v>
      </c>
      <c r="J195" s="422" t="s">
        <v>474</v>
      </c>
    </row>
    <row r="196" spans="1:10">
      <c r="A196" s="467">
        <v>4</v>
      </c>
      <c r="B196" s="467" t="s">
        <v>606</v>
      </c>
      <c r="H196" s="279">
        <v>194</v>
      </c>
      <c r="I196" s="412" t="s">
        <v>475</v>
      </c>
      <c r="J196" s="422" t="s">
        <v>475</v>
      </c>
    </row>
    <row r="197" spans="1:10">
      <c r="A197" s="467">
        <v>5</v>
      </c>
      <c r="B197" s="467" t="s">
        <v>588</v>
      </c>
      <c r="H197" s="279">
        <v>195</v>
      </c>
      <c r="I197" s="412" t="s">
        <v>476</v>
      </c>
      <c r="J197" s="422" t="s">
        <v>476</v>
      </c>
    </row>
    <row r="198" spans="1:10">
      <c r="A198" s="467">
        <v>6</v>
      </c>
      <c r="B198" s="467" t="s">
        <v>607</v>
      </c>
      <c r="H198" s="279">
        <v>196</v>
      </c>
      <c r="I198" s="412" t="s">
        <v>477</v>
      </c>
      <c r="J198" s="422" t="s">
        <v>477</v>
      </c>
    </row>
    <row r="199" spans="1:10" ht="15" thickBot="1">
      <c r="A199" s="467">
        <v>7</v>
      </c>
      <c r="B199" s="467" t="s">
        <v>608</v>
      </c>
      <c r="H199" s="279">
        <v>197</v>
      </c>
      <c r="I199" s="412" t="s">
        <v>478</v>
      </c>
      <c r="J199" s="423" t="s">
        <v>478</v>
      </c>
    </row>
    <row r="200" spans="1:10" ht="15" thickTop="1">
      <c r="A200" s="467">
        <v>8</v>
      </c>
      <c r="B200" s="467" t="s">
        <v>646</v>
      </c>
      <c r="G200" s="280"/>
      <c r="H200" s="280"/>
    </row>
    <row r="201" spans="1:10">
      <c r="A201" s="467">
        <v>9</v>
      </c>
      <c r="B201" s="467" t="s">
        <v>609</v>
      </c>
    </row>
    <row r="202" spans="1:10">
      <c r="A202" s="467">
        <v>10</v>
      </c>
      <c r="B202" s="467" t="s">
        <v>589</v>
      </c>
    </row>
    <row r="205" spans="1:10">
      <c r="A205" s="287"/>
    </row>
    <row r="240" spans="9:9">
      <c r="I240" s="2"/>
    </row>
    <row r="241" spans="9:9">
      <c r="I241" s="2"/>
    </row>
    <row r="242" spans="9:9">
      <c r="I242" s="2"/>
    </row>
    <row r="243" spans="9:9">
      <c r="I243" s="2"/>
    </row>
    <row r="244" spans="9:9">
      <c r="I244" s="2"/>
    </row>
    <row r="245" spans="9:9">
      <c r="I245" s="2"/>
    </row>
    <row r="246" spans="9:9">
      <c r="I246" s="2"/>
    </row>
    <row r="247" spans="9:9">
      <c r="I247" s="2"/>
    </row>
    <row r="248" spans="9:9">
      <c r="I248" s="2"/>
    </row>
    <row r="249" spans="9:9">
      <c r="I249" s="2"/>
    </row>
  </sheetData>
  <mergeCells count="5">
    <mergeCell ref="A1:E1"/>
    <mergeCell ref="A154:D154"/>
    <mergeCell ref="A182:B182"/>
    <mergeCell ref="A191:B191"/>
    <mergeCell ref="H1:J1"/>
  </mergeCells>
  <phoneticPr fontId="14"/>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10</vt:i4>
      </vt:variant>
      <vt:variant>
        <vt:lpstr>名前付き一覧</vt:lpstr>
      </vt:variant>
      <vt:variant>
        <vt:i4>18</vt:i4>
      </vt:variant>
    </vt:vector>
  </HeadingPairs>
  <TitlesOfParts>
    <vt:vector size="28" baseType="lpstr">
      <vt:lpstr>1)受入れ機関概要</vt:lpstr>
      <vt:lpstr>2)送出し機関概要</vt:lpstr>
      <vt:lpstr>3)招へい者4)受入れ体制</vt:lpstr>
      <vt:lpstr>5)実施内容</vt:lpstr>
      <vt:lpstr>6)日程</vt:lpstr>
      <vt:lpstr>7)経費概算見積書（渡航費内訳）</vt:lpstr>
      <vt:lpstr>7)経費概算見積書</vt:lpstr>
      <vt:lpstr>8)招へい者リスト</vt:lpstr>
      <vt:lpstr>9)改訂履歴</vt:lpstr>
      <vt:lpstr>隠しシート</vt:lpstr>
      <vt:lpstr>'1)受入れ機関概要'!Print_Area</vt:lpstr>
      <vt:lpstr>'2)送出し機関概要'!Print_Area</vt:lpstr>
      <vt:lpstr>'3)招へい者4)受入れ体制'!Print_Area</vt:lpstr>
      <vt:lpstr>'5)実施内容'!Print_Area</vt:lpstr>
      <vt:lpstr>'6)日程'!Print_Area</vt:lpstr>
      <vt:lpstr>'7)経費概算見積書'!Print_Area</vt:lpstr>
      <vt:lpstr>'7)経費概算見積書（渡航費内訳）'!Print_Area</vt:lpstr>
      <vt:lpstr>'8)招へい者リスト'!Print_Area</vt:lpstr>
      <vt:lpstr>'9)改訂履歴'!Print_Area</vt:lpstr>
      <vt:lpstr>'6)日程'!Print_Titles</vt:lpstr>
      <vt:lpstr>'7)経費概算見積書（渡航費内訳）'!Print_Titles</vt:lpstr>
      <vt:lpstr>'8)招へい者リスト'!Print_Titles</vt:lpstr>
      <vt:lpstr>'9)改訂履歴'!Print_Titles</vt:lpstr>
      <vt:lpstr>国・地域リスト</vt:lpstr>
      <vt:lpstr>国・地域リスト_招へい者リスト用</vt:lpstr>
      <vt:lpstr>送出し機関名</vt:lpstr>
      <vt:lpstr>送出し国リスト</vt:lpstr>
      <vt:lpstr>分野</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2025-03-21T08:30:08Z</cp:lastPrinted>
  <dcterms:created xsi:type="dcterms:W3CDTF">2019-08-23T06:06:27Z</dcterms:created>
  <dcterms:modified xsi:type="dcterms:W3CDTF">2025-03-21T08:31:55Z</dcterms:modified>
  <cp:contentStatus/>
</cp:coreProperties>
</file>